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.GGBGOV\Downloads\GGB\GGB\Exports (Gold)\"/>
    </mc:Choice>
  </mc:AlternateContent>
  <xr:revisionPtr revIDLastSave="0" documentId="13_ncr:1_{7004D626-CF0E-4FD0-B7EE-C4488AB99D8D}" xr6:coauthVersionLast="47" xr6:coauthVersionMax="47" xr10:uidLastSave="{00000000-0000-0000-0000-000000000000}"/>
  <bookViews>
    <workbookView xWindow="28680" yWindow="-120" windowWidth="29040" windowHeight="15720" xr2:uid="{BC53A474-B564-4E3A-AC07-3113FD514052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1" l="1"/>
  <c r="J106" i="1" s="1"/>
  <c r="H105" i="1"/>
  <c r="J105" i="1" s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I91" i="1"/>
  <c r="H91" i="1"/>
  <c r="J91" i="1" s="1"/>
  <c r="I90" i="1"/>
  <c r="H90" i="1"/>
  <c r="J90" i="1" s="1"/>
  <c r="I89" i="1"/>
  <c r="H89" i="1"/>
  <c r="I88" i="1"/>
  <c r="H88" i="1"/>
  <c r="J88" i="1" s="1"/>
  <c r="I87" i="1"/>
  <c r="H87" i="1"/>
  <c r="J87" i="1" s="1"/>
  <c r="I86" i="1"/>
  <c r="H86" i="1"/>
  <c r="J86" i="1" s="1"/>
  <c r="I85" i="1"/>
  <c r="H85" i="1"/>
  <c r="I84" i="1"/>
  <c r="H84" i="1"/>
  <c r="J84" i="1" s="1"/>
  <c r="I83" i="1"/>
  <c r="H83" i="1"/>
  <c r="J83" i="1" s="1"/>
  <c r="I82" i="1"/>
  <c r="H82" i="1"/>
  <c r="J82" i="1" s="1"/>
  <c r="I81" i="1"/>
  <c r="H81" i="1"/>
  <c r="I80" i="1"/>
  <c r="H80" i="1"/>
  <c r="J80" i="1" s="1"/>
  <c r="I79" i="1"/>
  <c r="H79" i="1"/>
  <c r="J79" i="1" s="1"/>
  <c r="I78" i="1"/>
  <c r="H78" i="1"/>
  <c r="J78" i="1" s="1"/>
  <c r="I77" i="1"/>
  <c r="H77" i="1"/>
  <c r="H76" i="1"/>
  <c r="J76" i="1" s="1"/>
  <c r="H75" i="1"/>
  <c r="J75" i="1" s="1"/>
  <c r="J74" i="1"/>
  <c r="H74" i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J64" i="1"/>
  <c r="H64" i="1"/>
  <c r="H63" i="1"/>
  <c r="J63" i="1" s="1"/>
  <c r="I62" i="1"/>
  <c r="H62" i="1"/>
  <c r="J62" i="1" s="1"/>
  <c r="I61" i="1"/>
  <c r="H61" i="1"/>
  <c r="J61" i="1" s="1"/>
  <c r="H60" i="1"/>
  <c r="J60" i="1" s="1"/>
  <c r="J59" i="1"/>
  <c r="I59" i="1"/>
  <c r="H59" i="1"/>
  <c r="I58" i="1"/>
  <c r="H58" i="1"/>
  <c r="J58" i="1" s="1"/>
  <c r="I57" i="1"/>
  <c r="H57" i="1"/>
  <c r="J57" i="1" s="1"/>
  <c r="I56" i="1"/>
  <c r="H56" i="1"/>
  <c r="J55" i="1"/>
  <c r="I55" i="1"/>
  <c r="H55" i="1"/>
  <c r="I54" i="1"/>
  <c r="H54" i="1"/>
  <c r="J54" i="1" s="1"/>
  <c r="I53" i="1"/>
  <c r="H53" i="1"/>
  <c r="J53" i="1" s="1"/>
  <c r="I52" i="1"/>
  <c r="H52" i="1"/>
  <c r="I51" i="1"/>
  <c r="J51" i="1" s="1"/>
  <c r="H51" i="1"/>
  <c r="I50" i="1"/>
  <c r="H50" i="1"/>
  <c r="J50" i="1" s="1"/>
  <c r="I49" i="1"/>
  <c r="H49" i="1"/>
  <c r="J49" i="1" s="1"/>
  <c r="I48" i="1"/>
  <c r="H48" i="1"/>
  <c r="J48" i="1" s="1"/>
  <c r="I47" i="1"/>
  <c r="H47" i="1"/>
  <c r="J47" i="1" s="1"/>
  <c r="I46" i="1"/>
  <c r="J46" i="1" s="1"/>
  <c r="F46" i="1"/>
  <c r="I45" i="1"/>
  <c r="H45" i="1"/>
  <c r="J45" i="1" s="1"/>
  <c r="I44" i="1"/>
  <c r="H44" i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4" i="1"/>
  <c r="H34" i="1"/>
  <c r="J34" i="1" s="1"/>
  <c r="I33" i="1"/>
  <c r="H33" i="1"/>
  <c r="J33" i="1" s="1"/>
  <c r="I32" i="1"/>
  <c r="H32" i="1"/>
  <c r="J32" i="1" s="1"/>
  <c r="I31" i="1"/>
  <c r="H31" i="1"/>
  <c r="J31" i="1" s="1"/>
  <c r="I30" i="1"/>
  <c r="H30" i="1"/>
  <c r="I29" i="1"/>
  <c r="H29" i="1"/>
  <c r="J29" i="1" s="1"/>
  <c r="I28" i="1"/>
  <c r="H28" i="1"/>
  <c r="J28" i="1" s="1"/>
  <c r="I27" i="1"/>
  <c r="H27" i="1"/>
  <c r="J27" i="1" s="1"/>
  <c r="I26" i="1"/>
  <c r="H26" i="1"/>
  <c r="J26" i="1" s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I20" i="1"/>
  <c r="H20" i="1"/>
  <c r="J20" i="1" s="1"/>
  <c r="I19" i="1"/>
  <c r="H19" i="1"/>
  <c r="J19" i="1" s="1"/>
  <c r="I18" i="1"/>
  <c r="H18" i="1"/>
  <c r="J18" i="1" s="1"/>
  <c r="H17" i="1"/>
  <c r="J17" i="1" s="1"/>
  <c r="H16" i="1"/>
  <c r="J16" i="1" s="1"/>
  <c r="H15" i="1"/>
  <c r="J15" i="1" s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I6" i="1"/>
  <c r="H6" i="1"/>
  <c r="J6" i="1" s="1"/>
  <c r="I5" i="1"/>
  <c r="H5" i="1"/>
  <c r="J5" i="1" s="1"/>
  <c r="J21" i="1" l="1"/>
  <c r="J30" i="1"/>
  <c r="J56" i="1"/>
  <c r="J85" i="1"/>
  <c r="J77" i="1"/>
  <c r="J52" i="1"/>
  <c r="J89" i="1"/>
  <c r="J44" i="1"/>
  <c r="J81" i="1"/>
</calcChain>
</file>

<file path=xl/sharedStrings.xml><?xml version="1.0" encoding="utf-8"?>
<sst xmlns="http://schemas.openxmlformats.org/spreadsheetml/2006/main" count="543" uniqueCount="48">
  <si>
    <t>Date</t>
  </si>
  <si>
    <t>Commodity</t>
  </si>
  <si>
    <t>National/International Classification</t>
  </si>
  <si>
    <t>Operational Location</t>
  </si>
  <si>
    <t>Ounces (oz)</t>
  </si>
  <si>
    <t>USD Price</t>
  </si>
  <si>
    <t xml:space="preserve">USD Value </t>
  </si>
  <si>
    <t>Buyer/Shipped To:</t>
  </si>
  <si>
    <t xml:space="preserve">Dinar Trading </t>
  </si>
  <si>
    <t>Gold</t>
  </si>
  <si>
    <t xml:space="preserve">Guyana </t>
  </si>
  <si>
    <t>Precious Metals Xchange Group Inc. 1890 NW 95 Avenue Doral Florida 33172</t>
  </si>
  <si>
    <t>Precious Metals X Change Group Inc. 1890 NW 95 Avenue Doral Florida 33172</t>
  </si>
  <si>
    <t>27,993.34</t>
  </si>
  <si>
    <t>27153.10</t>
  </si>
  <si>
    <t>25,816.66</t>
  </si>
  <si>
    <t>Shirpur Gold DMCC, 3605 Oaks Liwa Heights Cluster, W JLT, Dubai, UAE.</t>
  </si>
  <si>
    <t>Ashoka Global DMCC 28 I Gold Tower, Cluster I, JLT Dubai UAE.</t>
  </si>
  <si>
    <t>31,103.5</t>
  </si>
  <si>
    <t>24,883.40</t>
  </si>
  <si>
    <t>74,649.80</t>
  </si>
  <si>
    <t>124,414.50</t>
  </si>
  <si>
    <t>124,414.60</t>
  </si>
  <si>
    <t>124,414.70</t>
  </si>
  <si>
    <t>124,415.8</t>
  </si>
  <si>
    <t>174,180.60</t>
  </si>
  <si>
    <t>Guyana Gold Board</t>
  </si>
  <si>
    <t xml:space="preserve">Stonex Commodities DMCC, Dubai, UAE </t>
  </si>
  <si>
    <t>Mohamed's Enterprise</t>
  </si>
  <si>
    <t>Guyana</t>
  </si>
  <si>
    <t>23-Jun.23</t>
  </si>
  <si>
    <t>Budget Gold L.L.C Office 103 Floor1, Building: Hind 3, Deira Water Front Development, Gold Souk, Dubai, UAE</t>
  </si>
  <si>
    <t>74,567.70</t>
  </si>
  <si>
    <t>74,550.70</t>
  </si>
  <si>
    <t>74,566.00</t>
  </si>
  <si>
    <t>74,560.80</t>
  </si>
  <si>
    <t>74,548.10</t>
  </si>
  <si>
    <t>83,681.24</t>
  </si>
  <si>
    <t>51938.17</t>
  </si>
  <si>
    <t>73578.12</t>
  </si>
  <si>
    <t>International</t>
  </si>
  <si>
    <t xml:space="preserve">El Dorado Trading </t>
  </si>
  <si>
    <t xml:space="preserve">Quantity/ Volume </t>
  </si>
  <si>
    <t>GUYANA GOLD BOARD AND LICENSED DEALERS</t>
  </si>
  <si>
    <t>EXPORTS (GOLD) FOR YEAR 2023</t>
  </si>
  <si>
    <t xml:space="preserve">Pure Diamond Inc. </t>
  </si>
  <si>
    <t>Grams (g)</t>
  </si>
  <si>
    <t>Exporting Entity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</si>
</sst>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00000_);_(* \(#,##0.000000000\);_(* &quot;-&quot;??_);_(@_)"/>
    <numFmt numFmtId="167" formatCode="_(* #,##0_);_(* \(#,##0\);_(* &quot;-&quot;??_);_(@_)"/>
    <numFmt numFmtId="168" formatCode="yyyy\-mm\-dd;@"/>
    <numFmt numFmtId="169" formatCode="[$-409]d\-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5" fontId="5" fillId="0" borderId="1" xfId="0" applyNumberFormat="1" applyFont="1" applyBorder="1" applyAlignment="1">
      <alignment horizontal="left"/>
    </xf>
    <xf numFmtId="15" fontId="5" fillId="0" borderId="2" xfId="0" applyNumberFormat="1" applyFont="1" applyBorder="1" applyAlignment="1">
      <alignment horizontal="left"/>
    </xf>
    <xf numFmtId="165" fontId="5" fillId="0" borderId="1" xfId="1" applyFont="1" applyBorder="1" applyAlignment="1">
      <alignment horizontal="right"/>
    </xf>
    <xf numFmtId="166" fontId="5" fillId="0" borderId="2" xfId="1" applyNumberFormat="1" applyFont="1" applyBorder="1" applyAlignment="1">
      <alignment horizontal="left"/>
    </xf>
    <xf numFmtId="165" fontId="5" fillId="0" borderId="2" xfId="1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/>
    </xf>
    <xf numFmtId="165" fontId="5" fillId="0" borderId="1" xfId="1" applyFont="1" applyBorder="1" applyAlignment="1">
      <alignment horizontal="left"/>
    </xf>
    <xf numFmtId="165" fontId="5" fillId="0" borderId="1" xfId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left"/>
    </xf>
    <xf numFmtId="165" fontId="5" fillId="0" borderId="1" xfId="1" applyFont="1" applyFill="1" applyBorder="1" applyAlignment="1">
      <alignment horizontal="left"/>
    </xf>
    <xf numFmtId="165" fontId="5" fillId="0" borderId="2" xfId="1" applyFont="1" applyFill="1" applyBorder="1" applyAlignment="1">
      <alignment horizontal="left"/>
    </xf>
    <xf numFmtId="167" fontId="5" fillId="0" borderId="1" xfId="1" applyNumberFormat="1" applyFont="1" applyBorder="1" applyAlignment="1">
      <alignment horizontal="right"/>
    </xf>
    <xf numFmtId="167" fontId="5" fillId="0" borderId="1" xfId="1" quotePrefix="1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68" fontId="5" fillId="0" borderId="2" xfId="0" applyNumberFormat="1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5" fontId="5" fillId="0" borderId="3" xfId="0" applyNumberFormat="1" applyFont="1" applyBorder="1" applyAlignment="1">
      <alignment horizontal="left"/>
    </xf>
    <xf numFmtId="166" fontId="5" fillId="0" borderId="2" xfId="1" applyNumberFormat="1" applyFont="1" applyFill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165" fontId="5" fillId="0" borderId="6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right"/>
    </xf>
    <xf numFmtId="15" fontId="5" fillId="0" borderId="7" xfId="0" applyNumberFormat="1" applyFont="1" applyBorder="1" applyAlignment="1">
      <alignment horizontal="left"/>
    </xf>
    <xf numFmtId="39" fontId="5" fillId="0" borderId="1" xfId="1" applyNumberFormat="1" applyFont="1" applyFill="1" applyBorder="1" applyAlignment="1">
      <alignment horizontal="right"/>
    </xf>
    <xf numFmtId="169" fontId="5" fillId="0" borderId="2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169" fontId="5" fillId="0" borderId="1" xfId="0" applyNumberFormat="1" applyFont="1" applyBorder="1" applyAlignment="1">
      <alignment horizontal="left"/>
    </xf>
    <xf numFmtId="167" fontId="5" fillId="0" borderId="1" xfId="1" applyNumberFormat="1" applyFont="1" applyBorder="1" applyAlignment="1">
      <alignment horizontal="left"/>
    </xf>
    <xf numFmtId="15" fontId="5" fillId="0" borderId="4" xfId="0" applyNumberFormat="1" applyFont="1" applyBorder="1" applyAlignment="1">
      <alignment horizontal="left"/>
    </xf>
    <xf numFmtId="165" fontId="5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68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65" fontId="5" fillId="0" borderId="1" xfId="2" applyNumberFormat="1" applyFont="1" applyFill="1" applyBorder="1" applyAlignment="1">
      <alignment horizontal="right"/>
    </xf>
    <xf numFmtId="165" fontId="5" fillId="0" borderId="1" xfId="1" quotePrefix="1" applyFont="1" applyFill="1" applyBorder="1" applyAlignment="1">
      <alignment horizontal="right"/>
    </xf>
    <xf numFmtId="15" fontId="5" fillId="0" borderId="2" xfId="0" applyNumberFormat="1" applyFont="1" applyBorder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168" fontId="5" fillId="0" borderId="4" xfId="0" applyNumberFormat="1" applyFont="1" applyBorder="1" applyAlignment="1">
      <alignment horizontal="center"/>
    </xf>
    <xf numFmtId="15" fontId="5" fillId="0" borderId="4" xfId="0" applyNumberFormat="1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1" applyFont="1" applyBorder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F3FE-0DBE-4AE9-A4D8-07AC0873295C}">
  <dimension ref="A1:K106"/>
  <sheetViews>
    <sheetView tabSelected="1" workbookViewId="0">
      <selection sqref="A1:XFD1048576"/>
    </sheetView>
  </sheetViews>
  <sheetFormatPr defaultRowHeight="14.4" x14ac:dyDescent="0.3"/>
  <cols>
    <col min="1" max="1" width="16.109375" customWidth="1"/>
    <col min="2" max="2" width="21" customWidth="1"/>
    <col min="3" max="3" width="16.109375" style="47" customWidth="1"/>
    <col min="4" max="4" width="22.33203125" style="47" customWidth="1"/>
    <col min="5" max="5" width="16.109375" style="47" customWidth="1"/>
    <col min="6" max="6" width="19.88671875" customWidth="1"/>
    <col min="7" max="7" width="0" hidden="1" customWidth="1"/>
    <col min="8" max="8" width="13.6640625" bestFit="1" customWidth="1"/>
    <col min="9" max="9" width="15.33203125" customWidth="1"/>
    <col min="10" max="10" width="17.109375" customWidth="1"/>
    <col min="11" max="11" width="80" customWidth="1"/>
  </cols>
  <sheetData>
    <row r="1" spans="1:11" s="50" customFormat="1" ht="39.6" customHeight="1" x14ac:dyDescent="0.3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50" customFormat="1" ht="48" customHeight="1" x14ac:dyDescent="0.3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34.200000000000003" customHeight="1" x14ac:dyDescent="0.3">
      <c r="A3" s="53" t="s">
        <v>0</v>
      </c>
      <c r="B3" s="53" t="s">
        <v>47</v>
      </c>
      <c r="C3" s="53" t="s">
        <v>1</v>
      </c>
      <c r="D3" s="54" t="s">
        <v>2</v>
      </c>
      <c r="E3" s="54" t="s">
        <v>3</v>
      </c>
      <c r="F3" s="52" t="s">
        <v>42</v>
      </c>
      <c r="G3" s="52"/>
      <c r="H3" s="52"/>
      <c r="I3" s="55" t="s">
        <v>5</v>
      </c>
      <c r="J3" s="56" t="s">
        <v>6</v>
      </c>
      <c r="K3" s="58" t="s">
        <v>7</v>
      </c>
    </row>
    <row r="4" spans="1:11" ht="27" customHeight="1" x14ac:dyDescent="0.3">
      <c r="A4" s="53"/>
      <c r="B4" s="53"/>
      <c r="C4" s="53"/>
      <c r="D4" s="54"/>
      <c r="E4" s="54"/>
      <c r="F4" s="1" t="s">
        <v>46</v>
      </c>
      <c r="G4" s="2"/>
      <c r="H4" s="1" t="s">
        <v>4</v>
      </c>
      <c r="I4" s="55"/>
      <c r="J4" s="57"/>
      <c r="K4" s="59"/>
    </row>
    <row r="5" spans="1:11" ht="15.6" x14ac:dyDescent="0.3">
      <c r="A5" s="4">
        <v>44949</v>
      </c>
      <c r="B5" s="4" t="s">
        <v>8</v>
      </c>
      <c r="C5" s="41" t="s">
        <v>9</v>
      </c>
      <c r="D5" s="41" t="s">
        <v>40</v>
      </c>
      <c r="E5" s="48" t="s">
        <v>10</v>
      </c>
      <c r="F5" s="49">
        <v>25816.5</v>
      </c>
      <c r="G5" s="6">
        <v>3.2150747E-2</v>
      </c>
      <c r="H5" s="7">
        <f t="shared" ref="H5:H17" si="0">+F5*G5</f>
        <v>830.01975992550001</v>
      </c>
      <c r="I5" s="7">
        <f>1927.2*0.94</f>
        <v>1811.568</v>
      </c>
      <c r="J5" s="7">
        <f t="shared" ref="J5:J38" si="1">+H5*I5</f>
        <v>1503637.2364487182</v>
      </c>
      <c r="K5" s="8" t="s">
        <v>11</v>
      </c>
    </row>
    <row r="6" spans="1:11" ht="15.6" x14ac:dyDescent="0.3">
      <c r="A6" s="3">
        <v>44985</v>
      </c>
      <c r="B6" s="4" t="s">
        <v>8</v>
      </c>
      <c r="C6" s="41" t="s">
        <v>9</v>
      </c>
      <c r="D6" s="41" t="s">
        <v>40</v>
      </c>
      <c r="E6" s="48" t="s">
        <v>10</v>
      </c>
      <c r="F6" s="5">
        <v>25815.16</v>
      </c>
      <c r="G6" s="9">
        <v>3.2150747E-2</v>
      </c>
      <c r="H6" s="7">
        <f t="shared" si="0"/>
        <v>829.97667792452</v>
      </c>
      <c r="I6" s="10">
        <f>1824.6*0.94</f>
        <v>1715.1239999999998</v>
      </c>
      <c r="J6" s="7">
        <f t="shared" si="1"/>
        <v>1423512.9197486143</v>
      </c>
      <c r="K6" s="8" t="s">
        <v>12</v>
      </c>
    </row>
    <row r="7" spans="1:11" ht="15.6" x14ac:dyDescent="0.3">
      <c r="A7" s="3">
        <v>45013</v>
      </c>
      <c r="B7" s="4" t="s">
        <v>8</v>
      </c>
      <c r="C7" s="41" t="s">
        <v>9</v>
      </c>
      <c r="D7" s="41" t="s">
        <v>40</v>
      </c>
      <c r="E7" s="48" t="s">
        <v>10</v>
      </c>
      <c r="F7" s="11">
        <v>27432.880000000001</v>
      </c>
      <c r="G7" s="12">
        <v>3.2150747E-2</v>
      </c>
      <c r="H7" s="7">
        <f t="shared" si="0"/>
        <v>881.98758436136006</v>
      </c>
      <c r="I7" s="13">
        <f>1962.85*0.94</f>
        <v>1845.0789999999997</v>
      </c>
      <c r="J7" s="14">
        <f t="shared" si="1"/>
        <v>1627336.7701658737</v>
      </c>
      <c r="K7" s="8" t="s">
        <v>11</v>
      </c>
    </row>
    <row r="8" spans="1:11" ht="15.6" x14ac:dyDescent="0.3">
      <c r="A8" s="3">
        <v>45040</v>
      </c>
      <c r="B8" s="4" t="s">
        <v>8</v>
      </c>
      <c r="C8" s="41" t="s">
        <v>9</v>
      </c>
      <c r="D8" s="41" t="s">
        <v>40</v>
      </c>
      <c r="E8" s="48" t="s">
        <v>10</v>
      </c>
      <c r="F8" s="15">
        <v>27091.53</v>
      </c>
      <c r="G8" s="9">
        <v>3.2150747E-2</v>
      </c>
      <c r="H8" s="14">
        <f t="shared" si="0"/>
        <v>871.01292687290993</v>
      </c>
      <c r="I8" s="10">
        <f>1986.15*0.94</f>
        <v>1866.981</v>
      </c>
      <c r="J8" s="7">
        <f t="shared" si="1"/>
        <v>1626164.5852261123</v>
      </c>
      <c r="K8" s="8" t="s">
        <v>11</v>
      </c>
    </row>
    <row r="9" spans="1:11" ht="15.6" x14ac:dyDescent="0.3">
      <c r="A9" s="3">
        <v>45068</v>
      </c>
      <c r="B9" s="4" t="s">
        <v>8</v>
      </c>
      <c r="C9" s="41" t="s">
        <v>9</v>
      </c>
      <c r="D9" s="41" t="s">
        <v>40</v>
      </c>
      <c r="E9" s="48" t="s">
        <v>10</v>
      </c>
      <c r="F9" s="15">
        <v>27525.37</v>
      </c>
      <c r="G9" s="9">
        <v>3.2150747E-2</v>
      </c>
      <c r="H9" s="7">
        <f t="shared" si="0"/>
        <v>884.96120695138995</v>
      </c>
      <c r="I9" s="10">
        <f>1981.2*0.94</f>
        <v>1862.328</v>
      </c>
      <c r="J9" s="7">
        <f t="shared" si="1"/>
        <v>1648088.0346193681</v>
      </c>
      <c r="K9" s="8" t="s">
        <v>11</v>
      </c>
    </row>
    <row r="10" spans="1:11" ht="15.6" x14ac:dyDescent="0.3">
      <c r="A10" s="3">
        <v>45096</v>
      </c>
      <c r="B10" s="4" t="s">
        <v>8</v>
      </c>
      <c r="C10" s="41" t="s">
        <v>9</v>
      </c>
      <c r="D10" s="41" t="s">
        <v>40</v>
      </c>
      <c r="E10" s="48" t="s">
        <v>10</v>
      </c>
      <c r="F10" s="15">
        <v>28800.81</v>
      </c>
      <c r="G10" s="9">
        <v>3.2150747E-2</v>
      </c>
      <c r="H10" s="7">
        <f t="shared" si="0"/>
        <v>925.96755570507003</v>
      </c>
      <c r="I10" s="10">
        <f>1954.35*0.94</f>
        <v>1837.0889999999997</v>
      </c>
      <c r="J10" s="7">
        <f t="shared" si="1"/>
        <v>1701084.810942671</v>
      </c>
      <c r="K10" s="8" t="s">
        <v>11</v>
      </c>
    </row>
    <row r="11" spans="1:11" ht="15.6" x14ac:dyDescent="0.3">
      <c r="A11" s="3">
        <v>45117</v>
      </c>
      <c r="B11" s="4" t="s">
        <v>8</v>
      </c>
      <c r="C11" s="41" t="s">
        <v>9</v>
      </c>
      <c r="D11" s="41" t="s">
        <v>40</v>
      </c>
      <c r="E11" s="48" t="s">
        <v>10</v>
      </c>
      <c r="F11" s="5">
        <v>25503.53</v>
      </c>
      <c r="G11" s="9">
        <v>3.2150747E-2</v>
      </c>
      <c r="H11" s="7">
        <f t="shared" si="0"/>
        <v>819.95754063690993</v>
      </c>
      <c r="I11" s="13">
        <f>1925.05*0.94</f>
        <v>1809.5469999999998</v>
      </c>
      <c r="J11" s="7">
        <f t="shared" si="1"/>
        <v>1483751.7077868984</v>
      </c>
      <c r="K11" s="8" t="s">
        <v>11</v>
      </c>
    </row>
    <row r="12" spans="1:11" ht="15.6" x14ac:dyDescent="0.3">
      <c r="A12" s="3">
        <v>45145</v>
      </c>
      <c r="B12" s="4" t="s">
        <v>8</v>
      </c>
      <c r="C12" s="41" t="s">
        <v>9</v>
      </c>
      <c r="D12" s="41" t="s">
        <v>40</v>
      </c>
      <c r="E12" s="48" t="s">
        <v>10</v>
      </c>
      <c r="F12" s="5">
        <v>26438.2</v>
      </c>
      <c r="G12" s="9">
        <v>3.2150747E-2</v>
      </c>
      <c r="H12" s="7">
        <f t="shared" si="0"/>
        <v>850.00787933540005</v>
      </c>
      <c r="I12" s="13">
        <f>1936.9*0.94</f>
        <v>1820.6859999999999</v>
      </c>
      <c r="J12" s="7">
        <f t="shared" si="1"/>
        <v>1547597.445795652</v>
      </c>
      <c r="K12" s="8" t="s">
        <v>11</v>
      </c>
    </row>
    <row r="13" spans="1:11" ht="15.6" x14ac:dyDescent="0.3">
      <c r="A13" s="3">
        <v>45166</v>
      </c>
      <c r="B13" s="4" t="s">
        <v>8</v>
      </c>
      <c r="C13" s="41" t="s">
        <v>9</v>
      </c>
      <c r="D13" s="41" t="s">
        <v>40</v>
      </c>
      <c r="E13" s="48" t="s">
        <v>10</v>
      </c>
      <c r="F13" s="5">
        <v>26749.34</v>
      </c>
      <c r="G13" s="9">
        <v>3.2150747E-2</v>
      </c>
      <c r="H13" s="7">
        <f t="shared" si="0"/>
        <v>860.01126275698005</v>
      </c>
      <c r="I13" s="13">
        <f>1915.5*0.94</f>
        <v>1800.57</v>
      </c>
      <c r="J13" s="7">
        <f t="shared" si="1"/>
        <v>1548510.4793823354</v>
      </c>
      <c r="K13" s="8" t="s">
        <v>11</v>
      </c>
    </row>
    <row r="14" spans="1:11" ht="15.6" x14ac:dyDescent="0.3">
      <c r="A14" s="3">
        <v>45184</v>
      </c>
      <c r="B14" s="4" t="s">
        <v>8</v>
      </c>
      <c r="C14" s="41" t="s">
        <v>9</v>
      </c>
      <c r="D14" s="41" t="s">
        <v>40</v>
      </c>
      <c r="E14" s="48" t="s">
        <v>10</v>
      </c>
      <c r="F14" s="16" t="s">
        <v>13</v>
      </c>
      <c r="G14" s="9">
        <v>3.2150747E-2</v>
      </c>
      <c r="H14" s="7">
        <f t="shared" si="0"/>
        <v>900.00679202497997</v>
      </c>
      <c r="I14" s="10">
        <v>1918.7</v>
      </c>
      <c r="J14" s="7">
        <f t="shared" si="1"/>
        <v>1726843.0318583292</v>
      </c>
      <c r="K14" s="8" t="s">
        <v>11</v>
      </c>
    </row>
    <row r="15" spans="1:11" ht="15.6" x14ac:dyDescent="0.3">
      <c r="A15" s="3">
        <v>45212</v>
      </c>
      <c r="B15" s="4" t="s">
        <v>8</v>
      </c>
      <c r="C15" s="41" t="s">
        <v>9</v>
      </c>
      <c r="D15" s="41" t="s">
        <v>40</v>
      </c>
      <c r="E15" s="48" t="s">
        <v>10</v>
      </c>
      <c r="F15" s="16" t="s">
        <v>14</v>
      </c>
      <c r="G15" s="9">
        <v>3.2150747E-2</v>
      </c>
      <c r="H15" s="7">
        <f t="shared" si="0"/>
        <v>872.99244836569994</v>
      </c>
      <c r="I15" s="10">
        <v>1887</v>
      </c>
      <c r="J15" s="7">
        <f t="shared" si="1"/>
        <v>1647336.7500660757</v>
      </c>
      <c r="K15" s="8" t="s">
        <v>11</v>
      </c>
    </row>
    <row r="16" spans="1:11" ht="15.6" x14ac:dyDescent="0.3">
      <c r="A16" s="3">
        <v>45241</v>
      </c>
      <c r="B16" s="4" t="s">
        <v>8</v>
      </c>
      <c r="C16" s="41" t="s">
        <v>9</v>
      </c>
      <c r="D16" s="41" t="s">
        <v>40</v>
      </c>
      <c r="E16" s="48" t="s">
        <v>10</v>
      </c>
      <c r="F16" s="16" t="s">
        <v>15</v>
      </c>
      <c r="G16" s="9">
        <v>3.2150747E-2</v>
      </c>
      <c r="H16" s="7">
        <f t="shared" si="0"/>
        <v>830.02490404501998</v>
      </c>
      <c r="I16" s="10">
        <v>1859.7</v>
      </c>
      <c r="J16" s="7">
        <f t="shared" si="1"/>
        <v>1543597.3140525236</v>
      </c>
      <c r="K16" s="8" t="s">
        <v>11</v>
      </c>
    </row>
    <row r="17" spans="1:11" ht="15.6" x14ac:dyDescent="0.3">
      <c r="A17" s="3">
        <v>45268</v>
      </c>
      <c r="B17" s="4" t="s">
        <v>8</v>
      </c>
      <c r="C17" s="41" t="s">
        <v>9</v>
      </c>
      <c r="D17" s="41" t="s">
        <v>40</v>
      </c>
      <c r="E17" s="48" t="s">
        <v>10</v>
      </c>
      <c r="F17" s="17">
        <v>26126.12</v>
      </c>
      <c r="G17" s="9">
        <v>3.2150747E-2</v>
      </c>
      <c r="H17" s="7">
        <f t="shared" si="0"/>
        <v>839.97427421164002</v>
      </c>
      <c r="I17" s="10">
        <v>2030</v>
      </c>
      <c r="J17" s="7">
        <f t="shared" si="1"/>
        <v>1705147.7766496292</v>
      </c>
      <c r="K17" s="8" t="s">
        <v>11</v>
      </c>
    </row>
    <row r="18" spans="1:11" ht="15.6" x14ac:dyDescent="0.3">
      <c r="A18" s="3">
        <v>44932</v>
      </c>
      <c r="B18" s="18" t="s">
        <v>41</v>
      </c>
      <c r="C18" s="42" t="s">
        <v>9</v>
      </c>
      <c r="D18" s="41" t="s">
        <v>40</v>
      </c>
      <c r="E18" s="42" t="s">
        <v>10</v>
      </c>
      <c r="F18" s="10">
        <v>124414.39999999999</v>
      </c>
      <c r="G18" s="12">
        <v>3.2150747E-2</v>
      </c>
      <c r="H18" s="14">
        <f>+G18*F18</f>
        <v>4000.0158975567997</v>
      </c>
      <c r="I18" s="10">
        <f>1852.2*0.94</f>
        <v>1741.068</v>
      </c>
      <c r="J18" s="19">
        <f t="shared" si="1"/>
        <v>6964299.6787274219</v>
      </c>
      <c r="K18" s="20" t="s">
        <v>16</v>
      </c>
    </row>
    <row r="19" spans="1:11" ht="15.6" x14ac:dyDescent="0.3">
      <c r="A19" s="21">
        <v>44939</v>
      </c>
      <c r="B19" s="18" t="s">
        <v>41</v>
      </c>
      <c r="C19" s="43" t="s">
        <v>9</v>
      </c>
      <c r="D19" s="41" t="s">
        <v>40</v>
      </c>
      <c r="E19" s="43" t="s">
        <v>10</v>
      </c>
      <c r="F19" s="7">
        <v>99532.5</v>
      </c>
      <c r="G19" s="22">
        <v>3.2150747E-2</v>
      </c>
      <c r="H19" s="14">
        <f>+G19*F19</f>
        <v>3200.0442257774998</v>
      </c>
      <c r="I19" s="7">
        <f>1907.15*0.94</f>
        <v>1792.721</v>
      </c>
      <c r="J19" s="23">
        <f t="shared" si="1"/>
        <v>5736786.4844800653</v>
      </c>
      <c r="K19" s="24" t="s">
        <v>16</v>
      </c>
    </row>
    <row r="20" spans="1:11" ht="15.6" x14ac:dyDescent="0.3">
      <c r="A20" s="21">
        <v>44950</v>
      </c>
      <c r="B20" s="18" t="s">
        <v>41</v>
      </c>
      <c r="C20" s="43" t="s">
        <v>9</v>
      </c>
      <c r="D20" s="41" t="s">
        <v>40</v>
      </c>
      <c r="E20" s="43" t="s">
        <v>10</v>
      </c>
      <c r="F20" s="7">
        <v>99532.6</v>
      </c>
      <c r="G20" s="22">
        <v>3.2150747E-2</v>
      </c>
      <c r="H20" s="14">
        <f>+G20*F20</f>
        <v>3200.0474408522</v>
      </c>
      <c r="I20" s="7">
        <f>1936.5*0.94</f>
        <v>1820.31</v>
      </c>
      <c r="J20" s="23">
        <f t="shared" si="1"/>
        <v>5825078.3570576683</v>
      </c>
      <c r="K20" s="24" t="s">
        <v>16</v>
      </c>
    </row>
    <row r="21" spans="1:11" ht="15.6" x14ac:dyDescent="0.3">
      <c r="A21" s="21">
        <v>44957</v>
      </c>
      <c r="B21" s="18" t="s">
        <v>41</v>
      </c>
      <c r="C21" s="43" t="s">
        <v>9</v>
      </c>
      <c r="D21" s="41" t="s">
        <v>40</v>
      </c>
      <c r="E21" s="43" t="s">
        <v>10</v>
      </c>
      <c r="F21" s="7">
        <v>24883.1</v>
      </c>
      <c r="G21" s="12">
        <v>3.2150747E-2</v>
      </c>
      <c r="H21" s="13">
        <f>+G21*F21</f>
        <v>800.01025267569992</v>
      </c>
      <c r="I21" s="7">
        <f>1923.9*0.94</f>
        <v>1808.4659999999999</v>
      </c>
      <c r="J21" s="25">
        <f t="shared" si="1"/>
        <v>1446791.3416154122</v>
      </c>
      <c r="K21" s="24" t="s">
        <v>16</v>
      </c>
    </row>
    <row r="22" spans="1:11" ht="15.6" x14ac:dyDescent="0.3">
      <c r="A22" s="21">
        <v>44957</v>
      </c>
      <c r="B22" s="18" t="s">
        <v>41</v>
      </c>
      <c r="C22" s="43" t="s">
        <v>9</v>
      </c>
      <c r="D22" s="41" t="s">
        <v>40</v>
      </c>
      <c r="E22" s="43" t="s">
        <v>10</v>
      </c>
      <c r="F22" s="7">
        <v>74649.5</v>
      </c>
      <c r="G22" s="12">
        <v>3.2150747E-2</v>
      </c>
      <c r="H22" s="13">
        <f>+F22*G20</f>
        <v>2400.0371881765</v>
      </c>
      <c r="I22" s="26">
        <f>1923.9*0.94</f>
        <v>1808.4659999999999</v>
      </c>
      <c r="J22" s="25">
        <f t="shared" si="1"/>
        <v>4340385.6535528023</v>
      </c>
      <c r="K22" s="24" t="s">
        <v>16</v>
      </c>
    </row>
    <row r="23" spans="1:11" ht="15.6" x14ac:dyDescent="0.3">
      <c r="A23" s="21">
        <v>44964</v>
      </c>
      <c r="B23" s="18" t="s">
        <v>41</v>
      </c>
      <c r="C23" s="43" t="s">
        <v>9</v>
      </c>
      <c r="D23" s="41" t="s">
        <v>40</v>
      </c>
      <c r="E23" s="43" t="s">
        <v>10</v>
      </c>
      <c r="F23" s="14">
        <v>31103.3</v>
      </c>
      <c r="G23" s="12">
        <v>3.2150747E-2</v>
      </c>
      <c r="H23" s="13">
        <f t="shared" ref="H23:H33" si="2">+F23*G23</f>
        <v>999.9943291651</v>
      </c>
      <c r="I23" s="10">
        <f>1873.8*0.94</f>
        <v>1761.3719999999998</v>
      </c>
      <c r="J23" s="25">
        <f t="shared" si="1"/>
        <v>1761362.0115501904</v>
      </c>
      <c r="K23" s="24" t="s">
        <v>17</v>
      </c>
    </row>
    <row r="24" spans="1:11" ht="15.6" x14ac:dyDescent="0.3">
      <c r="A24" s="21">
        <v>44964</v>
      </c>
      <c r="B24" s="18" t="s">
        <v>41</v>
      </c>
      <c r="C24" s="43" t="s">
        <v>9</v>
      </c>
      <c r="D24" s="41" t="s">
        <v>40</v>
      </c>
      <c r="E24" s="43" t="s">
        <v>10</v>
      </c>
      <c r="F24" s="7">
        <v>49766.3</v>
      </c>
      <c r="G24" s="22">
        <v>3.2150747E-2</v>
      </c>
      <c r="H24" s="14">
        <f t="shared" si="2"/>
        <v>1600.0237204261</v>
      </c>
      <c r="I24" s="7">
        <f>1873.8*0.94</f>
        <v>1761.3719999999998</v>
      </c>
      <c r="J24" s="23">
        <f t="shared" si="1"/>
        <v>2818236.9804943604</v>
      </c>
      <c r="K24" s="24" t="s">
        <v>16</v>
      </c>
    </row>
    <row r="25" spans="1:11" ht="15.6" x14ac:dyDescent="0.3">
      <c r="A25" s="21">
        <v>44971</v>
      </c>
      <c r="B25" s="18" t="s">
        <v>41</v>
      </c>
      <c r="C25" s="43" t="s">
        <v>9</v>
      </c>
      <c r="D25" s="41" t="s">
        <v>40</v>
      </c>
      <c r="E25" s="43" t="s">
        <v>10</v>
      </c>
      <c r="F25" s="10">
        <v>99532.3</v>
      </c>
      <c r="G25" s="12">
        <v>3.2150747E-2</v>
      </c>
      <c r="H25" s="13">
        <f t="shared" si="2"/>
        <v>3200.0377956281</v>
      </c>
      <c r="I25" s="10">
        <f>1863.7*0.94</f>
        <v>1751.8779999999999</v>
      </c>
      <c r="J25" s="25">
        <f t="shared" si="1"/>
        <v>5606075.8133293642</v>
      </c>
      <c r="K25" s="24" t="s">
        <v>16</v>
      </c>
    </row>
    <row r="26" spans="1:11" ht="15.6" x14ac:dyDescent="0.3">
      <c r="A26" s="21">
        <v>44978</v>
      </c>
      <c r="B26" s="18" t="s">
        <v>41</v>
      </c>
      <c r="C26" s="43" t="s">
        <v>9</v>
      </c>
      <c r="D26" s="41" t="s">
        <v>40</v>
      </c>
      <c r="E26" s="43" t="s">
        <v>10</v>
      </c>
      <c r="F26" s="10">
        <v>124415</v>
      </c>
      <c r="G26" s="12">
        <v>3.2150747E-2</v>
      </c>
      <c r="H26" s="13">
        <f t="shared" si="2"/>
        <v>4000.0351880050002</v>
      </c>
      <c r="I26" s="10">
        <f>1836.85*0.94</f>
        <v>1726.6389999999999</v>
      </c>
      <c r="J26" s="25">
        <f t="shared" si="1"/>
        <v>6906616.7569817649</v>
      </c>
      <c r="K26" s="24" t="s">
        <v>16</v>
      </c>
    </row>
    <row r="27" spans="1:11" ht="15.6" x14ac:dyDescent="0.3">
      <c r="A27" s="21">
        <v>44985</v>
      </c>
      <c r="B27" s="18" t="s">
        <v>41</v>
      </c>
      <c r="C27" s="43" t="s">
        <v>9</v>
      </c>
      <c r="D27" s="41" t="s">
        <v>40</v>
      </c>
      <c r="E27" s="43" t="s">
        <v>10</v>
      </c>
      <c r="F27" s="10">
        <v>74649.3</v>
      </c>
      <c r="G27" s="12">
        <v>3.2150747E-2</v>
      </c>
      <c r="H27" s="13">
        <f t="shared" si="2"/>
        <v>2400.0307580271001</v>
      </c>
      <c r="I27" s="10">
        <f>1824.6*0.94</f>
        <v>1715.1239999999998</v>
      </c>
      <c r="J27" s="25">
        <f t="shared" si="1"/>
        <v>4116350.3538304716</v>
      </c>
      <c r="K27" s="24" t="s">
        <v>16</v>
      </c>
    </row>
    <row r="28" spans="1:11" ht="15.6" x14ac:dyDescent="0.3">
      <c r="A28" s="21">
        <v>44995</v>
      </c>
      <c r="B28" s="18" t="s">
        <v>41</v>
      </c>
      <c r="C28" s="43" t="s">
        <v>9</v>
      </c>
      <c r="D28" s="41" t="s">
        <v>40</v>
      </c>
      <c r="E28" s="43" t="s">
        <v>10</v>
      </c>
      <c r="F28" s="13">
        <v>99532.800000000003</v>
      </c>
      <c r="G28" s="12">
        <v>3.2150747E-2</v>
      </c>
      <c r="H28" s="13">
        <f t="shared" si="2"/>
        <v>3200.0538710016003</v>
      </c>
      <c r="I28" s="13">
        <f>1861.25*0.94</f>
        <v>1749.5749999999998</v>
      </c>
      <c r="J28" s="25">
        <f t="shared" si="1"/>
        <v>5598734.2513576243</v>
      </c>
      <c r="K28" s="24" t="s">
        <v>16</v>
      </c>
    </row>
    <row r="29" spans="1:11" ht="15.6" x14ac:dyDescent="0.3">
      <c r="A29" s="21">
        <v>45002</v>
      </c>
      <c r="B29" s="18" t="s">
        <v>41</v>
      </c>
      <c r="C29" s="43" t="s">
        <v>9</v>
      </c>
      <c r="D29" s="41" t="s">
        <v>40</v>
      </c>
      <c r="E29" s="43" t="s">
        <v>10</v>
      </c>
      <c r="F29" s="14">
        <v>124415.4</v>
      </c>
      <c r="G29" s="22">
        <v>3.2150747E-2</v>
      </c>
      <c r="H29" s="14">
        <f t="shared" si="2"/>
        <v>4000.0480483038</v>
      </c>
      <c r="I29" s="14">
        <f>1962.1*0.94</f>
        <v>1844.3739999999998</v>
      </c>
      <c r="J29" s="23">
        <f t="shared" si="1"/>
        <v>7377584.6190422717</v>
      </c>
      <c r="K29" s="24" t="s">
        <v>16</v>
      </c>
    </row>
    <row r="30" spans="1:11" ht="15.6" x14ac:dyDescent="0.3">
      <c r="A30" s="21">
        <v>45009</v>
      </c>
      <c r="B30" s="18" t="s">
        <v>41</v>
      </c>
      <c r="C30" s="43" t="s">
        <v>9</v>
      </c>
      <c r="D30" s="41" t="s">
        <v>40</v>
      </c>
      <c r="E30" s="43" t="s">
        <v>10</v>
      </c>
      <c r="F30" s="13">
        <v>149298.70000000001</v>
      </c>
      <c r="G30" s="12">
        <v>3.2150747E-2</v>
      </c>
      <c r="H30" s="13">
        <f t="shared" si="2"/>
        <v>4800.0647311289003</v>
      </c>
      <c r="I30" s="13">
        <f>1996.15*0.94</f>
        <v>1876.3810000000001</v>
      </c>
      <c r="J30" s="25">
        <f t="shared" si="1"/>
        <v>9006750.2602603771</v>
      </c>
      <c r="K30" s="24" t="s">
        <v>16</v>
      </c>
    </row>
    <row r="31" spans="1:11" ht="15.6" x14ac:dyDescent="0.3">
      <c r="A31" s="21">
        <v>45020</v>
      </c>
      <c r="B31" s="18" t="s">
        <v>41</v>
      </c>
      <c r="C31" s="43" t="s">
        <v>9</v>
      </c>
      <c r="D31" s="41" t="s">
        <v>40</v>
      </c>
      <c r="E31" s="43" t="s">
        <v>10</v>
      </c>
      <c r="F31" s="13">
        <v>149298</v>
      </c>
      <c r="G31" s="12">
        <v>3.2150747E-2</v>
      </c>
      <c r="H31" s="13">
        <f t="shared" si="2"/>
        <v>4800.0422256060001</v>
      </c>
      <c r="I31" s="13">
        <f>2009.6*0.94</f>
        <v>1889.0239999999999</v>
      </c>
      <c r="J31" s="25">
        <f t="shared" si="1"/>
        <v>9067394.9651831482</v>
      </c>
      <c r="K31" s="24" t="s">
        <v>16</v>
      </c>
    </row>
    <row r="32" spans="1:11" ht="15.6" x14ac:dyDescent="0.3">
      <c r="A32" s="27">
        <v>45030</v>
      </c>
      <c r="B32" s="18" t="s">
        <v>41</v>
      </c>
      <c r="C32" s="43" t="s">
        <v>9</v>
      </c>
      <c r="D32" s="41" t="s">
        <v>40</v>
      </c>
      <c r="E32" s="43" t="s">
        <v>10</v>
      </c>
      <c r="F32" s="14">
        <v>149298.9</v>
      </c>
      <c r="G32" s="22">
        <v>3.2150747E-2</v>
      </c>
      <c r="H32" s="14">
        <f t="shared" si="2"/>
        <v>4800.0711612782998</v>
      </c>
      <c r="I32" s="13">
        <f>2035.65*0.94</f>
        <v>1913.511</v>
      </c>
      <c r="J32" s="23">
        <f t="shared" si="1"/>
        <v>9184988.9678888004</v>
      </c>
      <c r="K32" s="24" t="s">
        <v>16</v>
      </c>
    </row>
    <row r="33" spans="1:11" ht="15.6" x14ac:dyDescent="0.3">
      <c r="A33" s="27">
        <v>45041</v>
      </c>
      <c r="B33" s="18" t="s">
        <v>41</v>
      </c>
      <c r="C33" s="43" t="s">
        <v>9</v>
      </c>
      <c r="D33" s="41" t="s">
        <v>40</v>
      </c>
      <c r="E33" s="43" t="s">
        <v>10</v>
      </c>
      <c r="F33" s="13">
        <v>74649.600000000006</v>
      </c>
      <c r="G33" s="12">
        <v>3.2150747E-2</v>
      </c>
      <c r="H33" s="13">
        <f t="shared" si="2"/>
        <v>2400.0404032512001</v>
      </c>
      <c r="I33" s="13">
        <f>1990.2*0.94</f>
        <v>1870.788</v>
      </c>
      <c r="J33" s="25">
        <f t="shared" si="1"/>
        <v>4489966.7859175066</v>
      </c>
      <c r="K33" s="24" t="s">
        <v>16</v>
      </c>
    </row>
    <row r="34" spans="1:11" ht="15.6" x14ac:dyDescent="0.3">
      <c r="A34" s="27">
        <v>45050</v>
      </c>
      <c r="B34" s="18" t="s">
        <v>41</v>
      </c>
      <c r="C34" s="43" t="s">
        <v>9</v>
      </c>
      <c r="D34" s="41" t="s">
        <v>40</v>
      </c>
      <c r="E34" s="43" t="s">
        <v>10</v>
      </c>
      <c r="F34" s="13">
        <v>74649.7</v>
      </c>
      <c r="G34" s="12">
        <v>3.2150747E-2</v>
      </c>
      <c r="H34" s="13">
        <f t="shared" ref="H34:H45" si="3">F34*G34</f>
        <v>2400.0436183258998</v>
      </c>
      <c r="I34" s="28">
        <f>2044.7*0.94</f>
        <v>1922.018</v>
      </c>
      <c r="J34" s="25">
        <f t="shared" si="1"/>
        <v>4612927.0352075091</v>
      </c>
      <c r="K34" s="24" t="s">
        <v>16</v>
      </c>
    </row>
    <row r="35" spans="1:11" ht="15.6" x14ac:dyDescent="0.3">
      <c r="A35" s="27">
        <v>45050</v>
      </c>
      <c r="B35" s="18" t="s">
        <v>41</v>
      </c>
      <c r="C35" s="43" t="s">
        <v>9</v>
      </c>
      <c r="D35" s="41" t="s">
        <v>40</v>
      </c>
      <c r="E35" s="43" t="s">
        <v>10</v>
      </c>
      <c r="F35" s="13">
        <v>24883.200000000001</v>
      </c>
      <c r="G35" s="12">
        <v>3.2150747E-2</v>
      </c>
      <c r="H35" s="13">
        <f t="shared" si="3"/>
        <v>800.01346775040008</v>
      </c>
      <c r="I35" s="13">
        <f>2044.7*0.94</f>
        <v>1922.018</v>
      </c>
      <c r="J35" s="25">
        <f t="shared" si="1"/>
        <v>1537640.2852586885</v>
      </c>
      <c r="K35" s="24" t="s">
        <v>16</v>
      </c>
    </row>
    <row r="36" spans="1:11" ht="15.6" x14ac:dyDescent="0.3">
      <c r="A36" s="27">
        <v>45058</v>
      </c>
      <c r="B36" s="18" t="s">
        <v>41</v>
      </c>
      <c r="C36" s="43" t="s">
        <v>9</v>
      </c>
      <c r="D36" s="41" t="s">
        <v>40</v>
      </c>
      <c r="E36" s="43" t="s">
        <v>10</v>
      </c>
      <c r="F36" s="13">
        <v>24883.200000000001</v>
      </c>
      <c r="G36" s="12">
        <v>3.2150747E-2</v>
      </c>
      <c r="H36" s="13">
        <f t="shared" si="3"/>
        <v>800.01346775040008</v>
      </c>
      <c r="I36" s="13">
        <f>2019.9*0.94</f>
        <v>1898.7059999999999</v>
      </c>
      <c r="J36" s="25">
        <f t="shared" si="1"/>
        <v>1518990.371298491</v>
      </c>
      <c r="K36" s="24" t="s">
        <v>16</v>
      </c>
    </row>
    <row r="37" spans="1:11" ht="15.6" x14ac:dyDescent="0.3">
      <c r="A37" s="27">
        <v>45058</v>
      </c>
      <c r="B37" s="18" t="s">
        <v>41</v>
      </c>
      <c r="C37" s="43" t="s">
        <v>9</v>
      </c>
      <c r="D37" s="41" t="s">
        <v>40</v>
      </c>
      <c r="E37" s="43" t="s">
        <v>10</v>
      </c>
      <c r="F37" s="13">
        <v>74649.8</v>
      </c>
      <c r="G37" s="12">
        <v>3.2150747E-2</v>
      </c>
      <c r="H37" s="13">
        <f t="shared" si="3"/>
        <v>2400.0468334006</v>
      </c>
      <c r="I37" s="13">
        <f>2019.9*0.94</f>
        <v>1898.7059999999999</v>
      </c>
      <c r="J37" s="25">
        <f t="shared" si="1"/>
        <v>4556983.3228587192</v>
      </c>
      <c r="K37" s="24" t="s">
        <v>16</v>
      </c>
    </row>
    <row r="38" spans="1:11" ht="15.6" x14ac:dyDescent="0.3">
      <c r="A38" s="27">
        <v>45071</v>
      </c>
      <c r="B38" s="18" t="s">
        <v>41</v>
      </c>
      <c r="C38" s="43" t="s">
        <v>9</v>
      </c>
      <c r="D38" s="41" t="s">
        <v>40</v>
      </c>
      <c r="E38" s="43" t="s">
        <v>10</v>
      </c>
      <c r="F38" s="13">
        <v>74649.600000000006</v>
      </c>
      <c r="G38" s="12">
        <v>3.2150747E-2</v>
      </c>
      <c r="H38" s="13">
        <f t="shared" si="3"/>
        <v>2400.0404032512001</v>
      </c>
      <c r="I38" s="13">
        <f>1962.3*0.94</f>
        <v>1844.5619999999999</v>
      </c>
      <c r="J38" s="25">
        <f t="shared" si="1"/>
        <v>4427023.3263018401</v>
      </c>
      <c r="K38" s="24" t="s">
        <v>16</v>
      </c>
    </row>
    <row r="39" spans="1:11" ht="15.6" x14ac:dyDescent="0.3">
      <c r="A39" s="27">
        <v>45083</v>
      </c>
      <c r="B39" s="18" t="s">
        <v>41</v>
      </c>
      <c r="C39" s="43" t="s">
        <v>9</v>
      </c>
      <c r="D39" s="41" t="s">
        <v>40</v>
      </c>
      <c r="E39" s="43" t="s">
        <v>10</v>
      </c>
      <c r="F39" s="13">
        <v>99532.3</v>
      </c>
      <c r="G39" s="12">
        <v>3.2150747E-2</v>
      </c>
      <c r="H39" s="13">
        <f t="shared" si="3"/>
        <v>3200.0377956281</v>
      </c>
      <c r="I39" s="13">
        <f>1961.9*0.94</f>
        <v>1844.1859999999999</v>
      </c>
      <c r="J39" s="25">
        <f>H39*I39</f>
        <v>5901464.9021682031</v>
      </c>
      <c r="K39" s="24" t="s">
        <v>16</v>
      </c>
    </row>
    <row r="40" spans="1:11" ht="15.6" x14ac:dyDescent="0.3">
      <c r="A40" s="27">
        <v>45083</v>
      </c>
      <c r="B40" s="18" t="s">
        <v>41</v>
      </c>
      <c r="C40" s="43" t="s">
        <v>9</v>
      </c>
      <c r="D40" s="41" t="s">
        <v>40</v>
      </c>
      <c r="E40" s="43" t="s">
        <v>10</v>
      </c>
      <c r="F40" s="13">
        <v>24883.1</v>
      </c>
      <c r="G40" s="12">
        <v>3.2150747E-2</v>
      </c>
      <c r="H40" s="13">
        <f t="shared" si="3"/>
        <v>800.01025267569992</v>
      </c>
      <c r="I40" s="13">
        <f>1961.9*0.94</f>
        <v>1844.1859999999999</v>
      </c>
      <c r="J40" s="25">
        <f>H40*I40</f>
        <v>1475367.7078409882</v>
      </c>
      <c r="K40" s="24" t="s">
        <v>16</v>
      </c>
    </row>
    <row r="41" spans="1:11" ht="15.6" x14ac:dyDescent="0.3">
      <c r="A41" s="27">
        <v>45090</v>
      </c>
      <c r="B41" s="18" t="s">
        <v>41</v>
      </c>
      <c r="C41" s="43" t="s">
        <v>9</v>
      </c>
      <c r="D41" s="41" t="s">
        <v>40</v>
      </c>
      <c r="E41" s="43" t="s">
        <v>10</v>
      </c>
      <c r="F41" s="13">
        <v>99533.8</v>
      </c>
      <c r="G41" s="12">
        <v>3.2150747E-2</v>
      </c>
      <c r="H41" s="13">
        <f t="shared" si="3"/>
        <v>3200.0860217486002</v>
      </c>
      <c r="I41" s="13">
        <f>1964*0.94</f>
        <v>1846.1599999999999</v>
      </c>
      <c r="J41" s="25">
        <f>H41*I41</f>
        <v>5907870.8099113954</v>
      </c>
      <c r="K41" s="24" t="s">
        <v>16</v>
      </c>
    </row>
    <row r="42" spans="1:11" ht="15.6" x14ac:dyDescent="0.3">
      <c r="A42" s="3">
        <v>45100</v>
      </c>
      <c r="B42" s="18" t="s">
        <v>41</v>
      </c>
      <c r="C42" s="43" t="s">
        <v>9</v>
      </c>
      <c r="D42" s="41" t="s">
        <v>40</v>
      </c>
      <c r="E42" s="43" t="s">
        <v>10</v>
      </c>
      <c r="F42" s="13">
        <v>74649.2</v>
      </c>
      <c r="G42" s="12">
        <v>3.2150747E-2</v>
      </c>
      <c r="H42" s="13">
        <f t="shared" si="3"/>
        <v>2400.0275429523999</v>
      </c>
      <c r="I42" s="13">
        <f>1930.7*0.94</f>
        <v>1814.8579999999999</v>
      </c>
      <c r="J42" s="25">
        <f>H42*I42</f>
        <v>4355709.1865475066</v>
      </c>
      <c r="K42" s="24" t="s">
        <v>16</v>
      </c>
    </row>
    <row r="43" spans="1:11" ht="15.6" x14ac:dyDescent="0.3">
      <c r="A43" s="3">
        <v>45111</v>
      </c>
      <c r="B43" s="18" t="s">
        <v>41</v>
      </c>
      <c r="C43" s="43" t="s">
        <v>9</v>
      </c>
      <c r="D43" s="41" t="s">
        <v>40</v>
      </c>
      <c r="E43" s="43" t="s">
        <v>10</v>
      </c>
      <c r="F43" s="13">
        <v>99532.6</v>
      </c>
      <c r="G43" s="12">
        <v>3.2150747E-2</v>
      </c>
      <c r="H43" s="13">
        <f t="shared" si="3"/>
        <v>3200.0474408522</v>
      </c>
      <c r="I43" s="13">
        <f>1929.75*0.94</f>
        <v>1813.9649999999999</v>
      </c>
      <c r="J43" s="25">
        <f t="shared" ref="J43:J50" si="4">+H43*I43</f>
        <v>5804774.0560454605</v>
      </c>
      <c r="K43" s="24" t="s">
        <v>16</v>
      </c>
    </row>
    <row r="44" spans="1:11" ht="15.6" x14ac:dyDescent="0.3">
      <c r="A44" s="3">
        <v>45114</v>
      </c>
      <c r="B44" s="18" t="s">
        <v>41</v>
      </c>
      <c r="C44" s="43" t="s">
        <v>9</v>
      </c>
      <c r="D44" s="41" t="s">
        <v>40</v>
      </c>
      <c r="E44" s="43" t="s">
        <v>10</v>
      </c>
      <c r="F44" s="13">
        <v>49766.2</v>
      </c>
      <c r="G44" s="12">
        <v>3.2150747E-2</v>
      </c>
      <c r="H44" s="13">
        <f t="shared" si="3"/>
        <v>1600.0205053513998</v>
      </c>
      <c r="I44" s="13">
        <f>1922.3*0.94</f>
        <v>1806.9619999999998</v>
      </c>
      <c r="J44" s="25">
        <f t="shared" si="4"/>
        <v>2891176.2523907758</v>
      </c>
      <c r="K44" s="24" t="s">
        <v>17</v>
      </c>
    </row>
    <row r="45" spans="1:11" ht="15.6" x14ac:dyDescent="0.3">
      <c r="A45" s="3">
        <v>45121</v>
      </c>
      <c r="B45" s="18" t="s">
        <v>41</v>
      </c>
      <c r="C45" s="43" t="s">
        <v>9</v>
      </c>
      <c r="D45" s="41" t="s">
        <v>40</v>
      </c>
      <c r="E45" s="43" t="s">
        <v>10</v>
      </c>
      <c r="F45" s="13">
        <v>99531.199999999997</v>
      </c>
      <c r="G45" s="12">
        <v>3.2150747E-2</v>
      </c>
      <c r="H45" s="13">
        <f t="shared" si="3"/>
        <v>3200.0024298064</v>
      </c>
      <c r="I45" s="13">
        <f>1956.5*0.94</f>
        <v>1839.11</v>
      </c>
      <c r="J45" s="25">
        <f t="shared" si="4"/>
        <v>5885156.4686812479</v>
      </c>
      <c r="K45" s="24" t="s">
        <v>16</v>
      </c>
    </row>
    <row r="46" spans="1:11" ht="15.6" x14ac:dyDescent="0.3">
      <c r="A46" s="3">
        <v>45128</v>
      </c>
      <c r="B46" s="18" t="s">
        <v>41</v>
      </c>
      <c r="C46" s="43" t="s">
        <v>9</v>
      </c>
      <c r="D46" s="41" t="s">
        <v>40</v>
      </c>
      <c r="E46" s="43" t="s">
        <v>10</v>
      </c>
      <c r="F46" s="13">
        <f>H46/G46</f>
        <v>74649.587457485817</v>
      </c>
      <c r="G46" s="12">
        <v>3.2150747E-2</v>
      </c>
      <c r="H46" s="13">
        <v>2400.04</v>
      </c>
      <c r="I46" s="13">
        <f>1963.8*0.94</f>
        <v>1845.9719999999998</v>
      </c>
      <c r="J46" s="25">
        <f t="shared" si="4"/>
        <v>4430406.6388799995</v>
      </c>
      <c r="K46" s="24" t="s">
        <v>16</v>
      </c>
    </row>
    <row r="47" spans="1:11" ht="15.6" x14ac:dyDescent="0.3">
      <c r="A47" s="3">
        <v>45142</v>
      </c>
      <c r="B47" s="18" t="s">
        <v>41</v>
      </c>
      <c r="C47" s="43" t="s">
        <v>9</v>
      </c>
      <c r="D47" s="41" t="s">
        <v>40</v>
      </c>
      <c r="E47" s="43" t="s">
        <v>10</v>
      </c>
      <c r="F47" s="13">
        <v>174182.6</v>
      </c>
      <c r="G47" s="12">
        <v>3.2150747E-2</v>
      </c>
      <c r="H47" s="13">
        <f t="shared" ref="H47:H56" si="5">F47*G47</f>
        <v>5600.1007044021999</v>
      </c>
      <c r="I47" s="13">
        <f>1942.45*0.94</f>
        <v>1825.903</v>
      </c>
      <c r="J47" s="25">
        <f t="shared" si="4"/>
        <v>10225240.67647009</v>
      </c>
      <c r="K47" s="24" t="s">
        <v>16</v>
      </c>
    </row>
    <row r="48" spans="1:11" ht="15.6" x14ac:dyDescent="0.3">
      <c r="A48" s="3">
        <v>45149</v>
      </c>
      <c r="B48" s="18" t="s">
        <v>41</v>
      </c>
      <c r="C48" s="43" t="s">
        <v>9</v>
      </c>
      <c r="D48" s="41" t="s">
        <v>40</v>
      </c>
      <c r="E48" s="43" t="s">
        <v>10</v>
      </c>
      <c r="F48" s="13">
        <v>74649.7</v>
      </c>
      <c r="G48" s="12">
        <v>3.2150747E-2</v>
      </c>
      <c r="H48" s="13">
        <f t="shared" si="5"/>
        <v>2400.0436183258998</v>
      </c>
      <c r="I48" s="13">
        <f>1918.05*0.94</f>
        <v>1802.9669999999999</v>
      </c>
      <c r="J48" s="25">
        <f t="shared" si="4"/>
        <v>4327199.4424021924</v>
      </c>
      <c r="K48" s="24" t="s">
        <v>16</v>
      </c>
    </row>
    <row r="49" spans="1:11" ht="15.6" x14ac:dyDescent="0.3">
      <c r="A49" s="3">
        <v>45156</v>
      </c>
      <c r="B49" s="18" t="s">
        <v>41</v>
      </c>
      <c r="C49" s="43" t="s">
        <v>9</v>
      </c>
      <c r="D49" s="41" t="s">
        <v>40</v>
      </c>
      <c r="E49" s="43" t="s">
        <v>10</v>
      </c>
      <c r="F49" s="13">
        <v>99533.1</v>
      </c>
      <c r="G49" s="12">
        <v>3.2150747E-2</v>
      </c>
      <c r="H49" s="13">
        <f t="shared" si="5"/>
        <v>3200.0635162257004</v>
      </c>
      <c r="I49" s="13">
        <f>1893.7*0.94</f>
        <v>1780.078</v>
      </c>
      <c r="J49" s="25">
        <f t="shared" si="4"/>
        <v>5696362.6638360126</v>
      </c>
      <c r="K49" s="24" t="s">
        <v>16</v>
      </c>
    </row>
    <row r="50" spans="1:11" ht="15.6" x14ac:dyDescent="0.3">
      <c r="A50" s="3">
        <v>45163</v>
      </c>
      <c r="B50" s="18" t="s">
        <v>41</v>
      </c>
      <c r="C50" s="43" t="s">
        <v>9</v>
      </c>
      <c r="D50" s="41" t="s">
        <v>40</v>
      </c>
      <c r="E50" s="43" t="s">
        <v>10</v>
      </c>
      <c r="F50" s="13">
        <v>74649.5</v>
      </c>
      <c r="G50" s="12">
        <v>3.2150747E-2</v>
      </c>
      <c r="H50" s="13">
        <f t="shared" si="5"/>
        <v>2400.0371881765</v>
      </c>
      <c r="I50" s="13">
        <f>1917.85*0.94</f>
        <v>1802.7789999999998</v>
      </c>
      <c r="J50" s="25">
        <f t="shared" si="4"/>
        <v>4326736.6420636419</v>
      </c>
      <c r="K50" s="24" t="s">
        <v>16</v>
      </c>
    </row>
    <row r="51" spans="1:11" ht="15.6" x14ac:dyDescent="0.3">
      <c r="A51" s="3">
        <v>45170</v>
      </c>
      <c r="B51" s="18" t="s">
        <v>41</v>
      </c>
      <c r="C51" s="43" t="s">
        <v>9</v>
      </c>
      <c r="D51" s="41" t="s">
        <v>40</v>
      </c>
      <c r="E51" s="43" t="s">
        <v>10</v>
      </c>
      <c r="F51" s="13">
        <v>74649.399999999994</v>
      </c>
      <c r="G51" s="12">
        <v>3.2150747E-2</v>
      </c>
      <c r="H51" s="13">
        <f t="shared" si="5"/>
        <v>2400.0339731017998</v>
      </c>
      <c r="I51" s="13">
        <f>1944.3*0.94</f>
        <v>1827.6419999999998</v>
      </c>
      <c r="J51" s="25">
        <f>I51*H51</f>
        <v>4386402.8906677188</v>
      </c>
      <c r="K51" s="24" t="s">
        <v>16</v>
      </c>
    </row>
    <row r="52" spans="1:11" ht="15.6" x14ac:dyDescent="0.3">
      <c r="A52" s="4">
        <v>45181</v>
      </c>
      <c r="B52" s="18" t="s">
        <v>41</v>
      </c>
      <c r="C52" s="43" t="s">
        <v>9</v>
      </c>
      <c r="D52" s="41" t="s">
        <v>40</v>
      </c>
      <c r="E52" s="43" t="s">
        <v>10</v>
      </c>
      <c r="F52" s="17">
        <v>99531.6</v>
      </c>
      <c r="G52" s="12">
        <v>3.2150747E-2</v>
      </c>
      <c r="H52" s="13">
        <f t="shared" si="5"/>
        <v>3200.0152901052002</v>
      </c>
      <c r="I52" s="13">
        <f>1908.55*0.94</f>
        <v>1794.0369999999998</v>
      </c>
      <c r="J52" s="25">
        <f t="shared" ref="J52:J62" si="6">+H52*I52</f>
        <v>5740945.8310144627</v>
      </c>
      <c r="K52" s="24" t="s">
        <v>16</v>
      </c>
    </row>
    <row r="53" spans="1:11" ht="15.6" x14ac:dyDescent="0.3">
      <c r="A53" s="4">
        <v>45181</v>
      </c>
      <c r="B53" s="18" t="s">
        <v>41</v>
      </c>
      <c r="C53" s="43" t="s">
        <v>9</v>
      </c>
      <c r="D53" s="41" t="s">
        <v>40</v>
      </c>
      <c r="E53" s="43" t="s">
        <v>10</v>
      </c>
      <c r="F53" s="16" t="s">
        <v>18</v>
      </c>
      <c r="G53" s="12">
        <v>3.2150747E-2</v>
      </c>
      <c r="H53" s="13">
        <f t="shared" si="5"/>
        <v>1000.0007593145</v>
      </c>
      <c r="I53" s="13">
        <f>1908.55*0.94</f>
        <v>1794.0369999999998</v>
      </c>
      <c r="J53" s="25">
        <f t="shared" si="6"/>
        <v>1794038.3622383075</v>
      </c>
      <c r="K53" s="24" t="s">
        <v>17</v>
      </c>
    </row>
    <row r="54" spans="1:11" ht="15.6" x14ac:dyDescent="0.3">
      <c r="A54" s="4">
        <v>45181</v>
      </c>
      <c r="B54" s="18" t="s">
        <v>41</v>
      </c>
      <c r="C54" s="43" t="s">
        <v>9</v>
      </c>
      <c r="D54" s="41" t="s">
        <v>40</v>
      </c>
      <c r="E54" s="43" t="s">
        <v>10</v>
      </c>
      <c r="F54" s="16" t="s">
        <v>19</v>
      </c>
      <c r="G54" s="12">
        <v>3.2150747E-2</v>
      </c>
      <c r="H54" s="13">
        <f t="shared" si="5"/>
        <v>800.01989789980007</v>
      </c>
      <c r="I54" s="13">
        <f>1908.55*0.94</f>
        <v>1794.0369999999998</v>
      </c>
      <c r="J54" s="25">
        <f t="shared" si="6"/>
        <v>1435265.2975684635</v>
      </c>
      <c r="K54" s="24" t="s">
        <v>16</v>
      </c>
    </row>
    <row r="55" spans="1:11" ht="15.6" x14ac:dyDescent="0.3">
      <c r="A55" s="29">
        <v>45191</v>
      </c>
      <c r="B55" s="18" t="s">
        <v>41</v>
      </c>
      <c r="C55" s="43" t="s">
        <v>9</v>
      </c>
      <c r="D55" s="41" t="s">
        <v>40</v>
      </c>
      <c r="E55" s="43" t="s">
        <v>10</v>
      </c>
      <c r="F55" s="30">
        <v>74649.600000000006</v>
      </c>
      <c r="G55" s="12">
        <v>3.2150747E-2</v>
      </c>
      <c r="H55" s="13">
        <f t="shared" si="5"/>
        <v>2400.0404032512001</v>
      </c>
      <c r="I55" s="13">
        <f>1926.2*0.94</f>
        <v>1810.6279999999999</v>
      </c>
      <c r="J55" s="25">
        <f t="shared" si="6"/>
        <v>4345580.3552579135</v>
      </c>
      <c r="K55" s="24" t="s">
        <v>16</v>
      </c>
    </row>
    <row r="56" spans="1:11" ht="15.6" x14ac:dyDescent="0.3">
      <c r="A56" s="31">
        <v>45198</v>
      </c>
      <c r="B56" s="18" t="s">
        <v>41</v>
      </c>
      <c r="C56" s="43" t="s">
        <v>9</v>
      </c>
      <c r="D56" s="41" t="s">
        <v>40</v>
      </c>
      <c r="E56" s="43" t="s">
        <v>10</v>
      </c>
      <c r="F56" s="16" t="s">
        <v>20</v>
      </c>
      <c r="G56" s="12">
        <v>3.2150747E-2</v>
      </c>
      <c r="H56" s="13">
        <f t="shared" si="5"/>
        <v>2400.0468334006</v>
      </c>
      <c r="I56" s="13">
        <f>1871.6*0.94</f>
        <v>1759.3039999999999</v>
      </c>
      <c r="J56" s="25">
        <f t="shared" si="6"/>
        <v>4222411.9941890091</v>
      </c>
      <c r="K56" s="24" t="s">
        <v>16</v>
      </c>
    </row>
    <row r="57" spans="1:11" ht="15.6" x14ac:dyDescent="0.3">
      <c r="A57" s="31">
        <v>45210</v>
      </c>
      <c r="B57" s="18" t="s">
        <v>41</v>
      </c>
      <c r="C57" s="43" t="s">
        <v>9</v>
      </c>
      <c r="D57" s="41" t="s">
        <v>40</v>
      </c>
      <c r="E57" s="43" t="s">
        <v>10</v>
      </c>
      <c r="F57" s="16" t="s">
        <v>21</v>
      </c>
      <c r="G57" s="12">
        <v>3.2150747E-2</v>
      </c>
      <c r="H57" s="13">
        <f t="shared" ref="H57:H62" si="7">+F57*G57</f>
        <v>4000.0191126314999</v>
      </c>
      <c r="I57" s="13">
        <f>1870*0.94</f>
        <v>1757.8</v>
      </c>
      <c r="J57" s="25">
        <f t="shared" si="6"/>
        <v>7031233.5961836502</v>
      </c>
      <c r="K57" s="24" t="s">
        <v>16</v>
      </c>
    </row>
    <row r="58" spans="1:11" ht="15.6" x14ac:dyDescent="0.3">
      <c r="A58" s="31">
        <v>45219</v>
      </c>
      <c r="B58" s="18" t="s">
        <v>41</v>
      </c>
      <c r="C58" s="43" t="s">
        <v>9</v>
      </c>
      <c r="D58" s="41" t="s">
        <v>40</v>
      </c>
      <c r="E58" s="43" t="s">
        <v>10</v>
      </c>
      <c r="F58" s="16" t="s">
        <v>22</v>
      </c>
      <c r="G58" s="12">
        <v>3.2150747E-2</v>
      </c>
      <c r="H58" s="13">
        <f t="shared" si="7"/>
        <v>4000.0223277062</v>
      </c>
      <c r="I58" s="13">
        <f>1984.2*0.94</f>
        <v>1865.1479999999999</v>
      </c>
      <c r="J58" s="25">
        <f t="shared" si="6"/>
        <v>7460633.6444765637</v>
      </c>
      <c r="K58" s="24" t="s">
        <v>16</v>
      </c>
    </row>
    <row r="59" spans="1:11" ht="15.6" x14ac:dyDescent="0.3">
      <c r="A59" s="3">
        <v>45231</v>
      </c>
      <c r="B59" s="18" t="s">
        <v>41</v>
      </c>
      <c r="C59" s="43" t="s">
        <v>9</v>
      </c>
      <c r="D59" s="41" t="s">
        <v>40</v>
      </c>
      <c r="E59" s="43" t="s">
        <v>10</v>
      </c>
      <c r="F59" s="16" t="s">
        <v>23</v>
      </c>
      <c r="G59" s="12">
        <v>3.2150747E-2</v>
      </c>
      <c r="H59" s="13">
        <f t="shared" si="7"/>
        <v>4000.0255427808997</v>
      </c>
      <c r="I59" s="13">
        <f>1982.5*0.94</f>
        <v>1863.55</v>
      </c>
      <c r="J59" s="25">
        <f t="shared" si="6"/>
        <v>7454247.6002493454</v>
      </c>
      <c r="K59" s="24" t="s">
        <v>16</v>
      </c>
    </row>
    <row r="60" spans="1:11" ht="15.6" x14ac:dyDescent="0.3">
      <c r="A60" s="3">
        <v>45245</v>
      </c>
      <c r="B60" s="18" t="s">
        <v>41</v>
      </c>
      <c r="C60" s="43" t="s">
        <v>9</v>
      </c>
      <c r="D60" s="41" t="s">
        <v>40</v>
      </c>
      <c r="E60" s="43" t="s">
        <v>10</v>
      </c>
      <c r="F60" s="16" t="s">
        <v>24</v>
      </c>
      <c r="G60" s="12">
        <v>3.2150747E-2</v>
      </c>
      <c r="H60" s="13">
        <f t="shared" si="7"/>
        <v>4000.0609086026002</v>
      </c>
      <c r="I60" s="13">
        <v>1973.4</v>
      </c>
      <c r="J60" s="25">
        <f t="shared" si="6"/>
        <v>7893720.1970363716</v>
      </c>
      <c r="K60" s="24" t="s">
        <v>16</v>
      </c>
    </row>
    <row r="61" spans="1:11" ht="15.6" x14ac:dyDescent="0.3">
      <c r="A61" s="3">
        <v>45259</v>
      </c>
      <c r="B61" s="18" t="s">
        <v>41</v>
      </c>
      <c r="C61" s="43" t="s">
        <v>9</v>
      </c>
      <c r="D61" s="41" t="s">
        <v>40</v>
      </c>
      <c r="E61" s="43" t="s">
        <v>10</v>
      </c>
      <c r="F61" s="16" t="s">
        <v>25</v>
      </c>
      <c r="G61" s="12">
        <v>3.2150747E-2</v>
      </c>
      <c r="H61" s="13">
        <f t="shared" si="7"/>
        <v>5600.0364029082002</v>
      </c>
      <c r="I61" s="13">
        <f>2037.6*0.94</f>
        <v>1915.3439999999998</v>
      </c>
      <c r="J61" s="25">
        <f t="shared" si="6"/>
        <v>10725996.124091802</v>
      </c>
      <c r="K61" s="24" t="s">
        <v>16</v>
      </c>
    </row>
    <row r="62" spans="1:11" ht="15.6" x14ac:dyDescent="0.3">
      <c r="A62" s="31">
        <v>45273</v>
      </c>
      <c r="B62" s="18" t="s">
        <v>41</v>
      </c>
      <c r="C62" s="43" t="s">
        <v>9</v>
      </c>
      <c r="D62" s="41" t="s">
        <v>40</v>
      </c>
      <c r="E62" s="43" t="s">
        <v>10</v>
      </c>
      <c r="F62" s="32">
        <v>124414.39999999999</v>
      </c>
      <c r="G62" s="9">
        <v>3.2150747E-2</v>
      </c>
      <c r="H62" s="10">
        <f t="shared" si="7"/>
        <v>4000.0158975567997</v>
      </c>
      <c r="I62" s="10">
        <f>1981.95*0.94</f>
        <v>1863.0329999999999</v>
      </c>
      <c r="J62" s="25">
        <f t="shared" si="6"/>
        <v>7452161.617672937</v>
      </c>
      <c r="K62" s="24" t="s">
        <v>16</v>
      </c>
    </row>
    <row r="63" spans="1:11" ht="15.6" x14ac:dyDescent="0.3">
      <c r="A63" s="3">
        <v>44929</v>
      </c>
      <c r="B63" s="33" t="s">
        <v>26</v>
      </c>
      <c r="C63" s="44" t="s">
        <v>9</v>
      </c>
      <c r="D63" s="41" t="s">
        <v>40</v>
      </c>
      <c r="E63" s="44" t="s">
        <v>10</v>
      </c>
      <c r="F63" s="10">
        <v>137942.9</v>
      </c>
      <c r="G63" s="9"/>
      <c r="H63" s="10">
        <f t="shared" ref="H63:H76" si="8">F63*0.032150747</f>
        <v>4434.9672783463002</v>
      </c>
      <c r="I63" s="34">
        <v>1800.67</v>
      </c>
      <c r="J63" s="25">
        <f t="shared" ref="J63:J76" si="9">I63*H63*0.92</f>
        <v>7347039.5267718462</v>
      </c>
      <c r="K63" s="35" t="s">
        <v>27</v>
      </c>
    </row>
    <row r="64" spans="1:11" ht="15.6" x14ac:dyDescent="0.3">
      <c r="A64" s="3">
        <v>44950</v>
      </c>
      <c r="B64" s="3" t="s">
        <v>26</v>
      </c>
      <c r="C64" s="45" t="s">
        <v>9</v>
      </c>
      <c r="D64" s="41" t="s">
        <v>40</v>
      </c>
      <c r="E64" s="45" t="s">
        <v>10</v>
      </c>
      <c r="F64" s="10">
        <v>117628.3</v>
      </c>
      <c r="G64" s="9"/>
      <c r="H64" s="10">
        <f t="shared" si="8"/>
        <v>3781.8377133401</v>
      </c>
      <c r="I64" s="10">
        <v>1887.67</v>
      </c>
      <c r="J64" s="25">
        <f t="shared" si="9"/>
        <v>6567752.6686334508</v>
      </c>
      <c r="K64" s="35" t="s">
        <v>27</v>
      </c>
    </row>
    <row r="65" spans="1:11" ht="15.6" x14ac:dyDescent="0.3">
      <c r="A65" s="3">
        <v>44971</v>
      </c>
      <c r="B65" s="3" t="s">
        <v>26</v>
      </c>
      <c r="C65" s="45" t="s">
        <v>9</v>
      </c>
      <c r="D65" s="41" t="s">
        <v>40</v>
      </c>
      <c r="E65" s="45" t="s">
        <v>10</v>
      </c>
      <c r="F65" s="10">
        <v>94573.1</v>
      </c>
      <c r="G65" s="9"/>
      <c r="H65" s="10">
        <f t="shared" si="8"/>
        <v>3040.5958111057002</v>
      </c>
      <c r="I65" s="10">
        <v>1906.64</v>
      </c>
      <c r="J65" s="25">
        <f t="shared" si="9"/>
        <v>5333535.8695036471</v>
      </c>
      <c r="K65" s="35" t="s">
        <v>27</v>
      </c>
    </row>
    <row r="66" spans="1:11" ht="15.6" x14ac:dyDescent="0.3">
      <c r="A66" s="3">
        <v>44991</v>
      </c>
      <c r="B66" s="3" t="s">
        <v>26</v>
      </c>
      <c r="C66" s="45" t="s">
        <v>9</v>
      </c>
      <c r="D66" s="41" t="s">
        <v>40</v>
      </c>
      <c r="E66" s="45" t="s">
        <v>10</v>
      </c>
      <c r="F66" s="10">
        <v>178215.9</v>
      </c>
      <c r="G66" s="9"/>
      <c r="H66" s="10">
        <f t="shared" si="8"/>
        <v>5729.7743122772999</v>
      </c>
      <c r="I66" s="10">
        <v>1847.38</v>
      </c>
      <c r="J66" s="25">
        <f t="shared" si="9"/>
        <v>9738264.8314936515</v>
      </c>
      <c r="K66" s="35" t="s">
        <v>27</v>
      </c>
    </row>
    <row r="67" spans="1:11" ht="15.6" x14ac:dyDescent="0.3">
      <c r="A67" s="3">
        <v>45006</v>
      </c>
      <c r="B67" s="3" t="s">
        <v>26</v>
      </c>
      <c r="C67" s="45" t="s">
        <v>9</v>
      </c>
      <c r="D67" s="41" t="s">
        <v>40</v>
      </c>
      <c r="E67" s="45" t="s">
        <v>10</v>
      </c>
      <c r="F67" s="10">
        <v>134747.6</v>
      </c>
      <c r="G67" s="9"/>
      <c r="H67" s="10">
        <f t="shared" si="8"/>
        <v>4332.2359964572006</v>
      </c>
      <c r="I67" s="10">
        <v>1896.86</v>
      </c>
      <c r="J67" s="25">
        <f t="shared" si="9"/>
        <v>7560233.5584606202</v>
      </c>
      <c r="K67" s="35" t="s">
        <v>27</v>
      </c>
    </row>
    <row r="68" spans="1:11" ht="15.6" x14ac:dyDescent="0.3">
      <c r="A68" s="3">
        <v>45027</v>
      </c>
      <c r="B68" s="3" t="s">
        <v>26</v>
      </c>
      <c r="C68" s="45" t="s">
        <v>9</v>
      </c>
      <c r="D68" s="41" t="s">
        <v>40</v>
      </c>
      <c r="E68" s="45" t="s">
        <v>10</v>
      </c>
      <c r="F68" s="10">
        <v>204775.2</v>
      </c>
      <c r="G68" s="9"/>
      <c r="H68" s="10">
        <f t="shared" si="8"/>
        <v>6583.6756470744003</v>
      </c>
      <c r="I68" s="10">
        <v>1971.94</v>
      </c>
      <c r="J68" s="25">
        <f t="shared" si="9"/>
        <v>11944004.287052542</v>
      </c>
      <c r="K68" s="35" t="s">
        <v>27</v>
      </c>
    </row>
    <row r="69" spans="1:11" ht="15.6" x14ac:dyDescent="0.3">
      <c r="A69" s="3">
        <v>45055</v>
      </c>
      <c r="B69" s="3" t="s">
        <v>26</v>
      </c>
      <c r="C69" s="45" t="s">
        <v>9</v>
      </c>
      <c r="D69" s="41" t="s">
        <v>40</v>
      </c>
      <c r="E69" s="45" t="s">
        <v>10</v>
      </c>
      <c r="F69" s="10">
        <v>142768.5</v>
      </c>
      <c r="G69" s="12"/>
      <c r="H69" s="10">
        <f t="shared" si="8"/>
        <v>4590.1139230694998</v>
      </c>
      <c r="I69" s="10">
        <v>2009.76</v>
      </c>
      <c r="J69" s="25">
        <f t="shared" si="9"/>
        <v>8487025.1693859063</v>
      </c>
      <c r="K69" s="35" t="s">
        <v>27</v>
      </c>
    </row>
    <row r="70" spans="1:11" ht="15.6" x14ac:dyDescent="0.3">
      <c r="A70" s="3">
        <v>45083</v>
      </c>
      <c r="B70" s="3" t="s">
        <v>26</v>
      </c>
      <c r="C70" s="45" t="s">
        <v>9</v>
      </c>
      <c r="D70" s="41" t="s">
        <v>40</v>
      </c>
      <c r="E70" s="45" t="s">
        <v>10</v>
      </c>
      <c r="F70" s="10">
        <v>185033.2</v>
      </c>
      <c r="G70" s="12"/>
      <c r="H70" s="10">
        <f t="shared" si="8"/>
        <v>5948.9555998004007</v>
      </c>
      <c r="I70" s="10">
        <v>1990.31</v>
      </c>
      <c r="J70" s="25">
        <f t="shared" si="9"/>
        <v>10893044.554251635</v>
      </c>
      <c r="K70" s="35" t="s">
        <v>27</v>
      </c>
    </row>
    <row r="71" spans="1:11" ht="15.6" x14ac:dyDescent="0.3">
      <c r="A71" s="3">
        <v>45125</v>
      </c>
      <c r="B71" s="3" t="s">
        <v>26</v>
      </c>
      <c r="C71" s="45" t="s">
        <v>9</v>
      </c>
      <c r="D71" s="41" t="s">
        <v>40</v>
      </c>
      <c r="E71" s="45" t="s">
        <v>10</v>
      </c>
      <c r="F71" s="10">
        <v>285956</v>
      </c>
      <c r="G71" s="9"/>
      <c r="H71" s="10">
        <f t="shared" si="8"/>
        <v>9193.6990091320004</v>
      </c>
      <c r="I71" s="10">
        <v>1940.62</v>
      </c>
      <c r="J71" s="25">
        <f t="shared" si="9"/>
        <v>16414158.077413604</v>
      </c>
      <c r="K71" s="35" t="s">
        <v>27</v>
      </c>
    </row>
    <row r="72" spans="1:11" ht="15.6" x14ac:dyDescent="0.3">
      <c r="A72" s="3">
        <v>45198</v>
      </c>
      <c r="B72" s="3" t="s">
        <v>26</v>
      </c>
      <c r="C72" s="45" t="s">
        <v>9</v>
      </c>
      <c r="D72" s="41" t="s">
        <v>40</v>
      </c>
      <c r="E72" s="45" t="s">
        <v>10</v>
      </c>
      <c r="F72" s="10">
        <v>305024.90000000002</v>
      </c>
      <c r="G72" s="9"/>
      <c r="H72" s="10">
        <f t="shared" si="8"/>
        <v>9806.7783886003017</v>
      </c>
      <c r="I72" s="10">
        <v>1943.43</v>
      </c>
      <c r="J72" s="25">
        <f t="shared" si="9"/>
        <v>17534084.337856885</v>
      </c>
      <c r="K72" s="35" t="s">
        <v>27</v>
      </c>
    </row>
    <row r="73" spans="1:11" ht="15.6" x14ac:dyDescent="0.3">
      <c r="A73" s="3">
        <v>45202</v>
      </c>
      <c r="B73" s="3" t="s">
        <v>26</v>
      </c>
      <c r="C73" s="45" t="s">
        <v>9</v>
      </c>
      <c r="D73" s="41" t="s">
        <v>40</v>
      </c>
      <c r="E73" s="45" t="s">
        <v>10</v>
      </c>
      <c r="F73" s="10">
        <v>188779.8</v>
      </c>
      <c r="G73" s="9"/>
      <c r="H73" s="10">
        <f t="shared" si="8"/>
        <v>6069.4115885105994</v>
      </c>
      <c r="I73" s="10">
        <v>1931.12</v>
      </c>
      <c r="J73" s="25">
        <f t="shared" si="9"/>
        <v>10783101.138260223</v>
      </c>
      <c r="K73" s="35" t="s">
        <v>27</v>
      </c>
    </row>
    <row r="74" spans="1:11" ht="15.6" x14ac:dyDescent="0.3">
      <c r="A74" s="3">
        <v>45217</v>
      </c>
      <c r="B74" s="3" t="s">
        <v>26</v>
      </c>
      <c r="C74" s="45" t="s">
        <v>9</v>
      </c>
      <c r="D74" s="41" t="s">
        <v>40</v>
      </c>
      <c r="E74" s="45" t="s">
        <v>10</v>
      </c>
      <c r="F74" s="10">
        <v>208888.9</v>
      </c>
      <c r="G74" s="9"/>
      <c r="H74" s="10">
        <f t="shared" si="8"/>
        <v>6715.9341750082995</v>
      </c>
      <c r="I74" s="13">
        <v>1893.51</v>
      </c>
      <c r="J74" s="25">
        <f t="shared" si="9"/>
        <v>11699353.438142369</v>
      </c>
      <c r="K74" s="35" t="s">
        <v>27</v>
      </c>
    </row>
    <row r="75" spans="1:11" ht="15.6" x14ac:dyDescent="0.3">
      <c r="A75" s="3">
        <v>45231</v>
      </c>
      <c r="B75" s="3" t="s">
        <v>26</v>
      </c>
      <c r="C75" s="45" t="s">
        <v>9</v>
      </c>
      <c r="D75" s="41" t="s">
        <v>40</v>
      </c>
      <c r="E75" s="45" t="s">
        <v>10</v>
      </c>
      <c r="F75" s="13">
        <v>184830.6</v>
      </c>
      <c r="G75" s="12"/>
      <c r="H75" s="10">
        <f t="shared" si="8"/>
        <v>5942.4418584581999</v>
      </c>
      <c r="I75" s="13">
        <v>1975.67</v>
      </c>
      <c r="J75" s="36">
        <f t="shared" si="9"/>
        <v>10801079.777980102</v>
      </c>
      <c r="K75" s="35" t="s">
        <v>27</v>
      </c>
    </row>
    <row r="76" spans="1:11" ht="15.6" x14ac:dyDescent="0.3">
      <c r="A76" s="3">
        <v>45266</v>
      </c>
      <c r="B76" s="3" t="s">
        <v>26</v>
      </c>
      <c r="C76" s="45" t="s">
        <v>9</v>
      </c>
      <c r="D76" s="41" t="s">
        <v>40</v>
      </c>
      <c r="E76" s="45" t="s">
        <v>10</v>
      </c>
      <c r="F76" s="13">
        <v>289174.90000000002</v>
      </c>
      <c r="G76" s="12"/>
      <c r="H76" s="10">
        <f t="shared" si="8"/>
        <v>9297.1890486503016</v>
      </c>
      <c r="I76" s="13">
        <v>1995.75</v>
      </c>
      <c r="J76" s="36">
        <f t="shared" si="9"/>
        <v>17070475.840336334</v>
      </c>
      <c r="K76" s="35" t="s">
        <v>27</v>
      </c>
    </row>
    <row r="77" spans="1:11" ht="15.6" x14ac:dyDescent="0.3">
      <c r="A77" s="3">
        <v>44929</v>
      </c>
      <c r="B77" s="37" t="s">
        <v>28</v>
      </c>
      <c r="C77" s="46" t="s">
        <v>9</v>
      </c>
      <c r="D77" s="41" t="s">
        <v>40</v>
      </c>
      <c r="E77" s="46" t="s">
        <v>29</v>
      </c>
      <c r="F77" s="13">
        <v>149118</v>
      </c>
      <c r="G77" s="12">
        <v>3.2150747E-2</v>
      </c>
      <c r="H77" s="13">
        <f>F77*G77</f>
        <v>4794.2550911460003</v>
      </c>
      <c r="I77" s="10">
        <f>1843.25*0.94</f>
        <v>1732.655</v>
      </c>
      <c r="J77" s="36">
        <f t="shared" ref="J77:J84" si="10">+H77*I77</f>
        <v>8306790.0549495732</v>
      </c>
      <c r="K77" s="38" t="s">
        <v>16</v>
      </c>
    </row>
    <row r="78" spans="1:11" ht="15.6" x14ac:dyDescent="0.3">
      <c r="A78" s="3">
        <v>44939</v>
      </c>
      <c r="B78" s="37" t="s">
        <v>28</v>
      </c>
      <c r="C78" s="46" t="s">
        <v>9</v>
      </c>
      <c r="D78" s="41" t="s">
        <v>40</v>
      </c>
      <c r="E78" s="46" t="s">
        <v>29</v>
      </c>
      <c r="F78" s="13">
        <v>65242.6</v>
      </c>
      <c r="G78" s="12">
        <v>3.2150747E-2</v>
      </c>
      <c r="H78" s="13">
        <f>F78*G78</f>
        <v>2097.5983262221998</v>
      </c>
      <c r="I78" s="10">
        <f>1907.15*0.94</f>
        <v>1792.721</v>
      </c>
      <c r="J78" s="36">
        <f t="shared" si="10"/>
        <v>3760408.5689833881</v>
      </c>
      <c r="K78" s="38" t="s">
        <v>16</v>
      </c>
    </row>
    <row r="79" spans="1:11" ht="15.6" x14ac:dyDescent="0.3">
      <c r="A79" s="3">
        <v>44960</v>
      </c>
      <c r="B79" s="37" t="s">
        <v>28</v>
      </c>
      <c r="C79" s="46" t="s">
        <v>9</v>
      </c>
      <c r="D79" s="41" t="s">
        <v>40</v>
      </c>
      <c r="E79" s="46" t="s">
        <v>29</v>
      </c>
      <c r="F79" s="10">
        <v>149129.79999999999</v>
      </c>
      <c r="G79" s="12">
        <v>3.2150747E-2</v>
      </c>
      <c r="H79" s="10">
        <f>F79*G79</f>
        <v>4794.6344699605997</v>
      </c>
      <c r="I79" s="10">
        <f>1910*0.94</f>
        <v>1795.3999999999999</v>
      </c>
      <c r="J79" s="36">
        <f t="shared" si="10"/>
        <v>8608286.7273672596</v>
      </c>
      <c r="K79" s="38" t="s">
        <v>16</v>
      </c>
    </row>
    <row r="80" spans="1:11" ht="15.6" x14ac:dyDescent="0.3">
      <c r="A80" s="3">
        <v>44988</v>
      </c>
      <c r="B80" s="37" t="s">
        <v>28</v>
      </c>
      <c r="C80" s="46" t="s">
        <v>9</v>
      </c>
      <c r="D80" s="41" t="s">
        <v>40</v>
      </c>
      <c r="E80" s="46" t="s">
        <v>29</v>
      </c>
      <c r="F80" s="10">
        <v>149132.70000000001</v>
      </c>
      <c r="G80" s="9">
        <v>3.2150747E-2</v>
      </c>
      <c r="H80" s="10">
        <f>F80*G80</f>
        <v>4794.7277071269</v>
      </c>
      <c r="I80" s="10">
        <f>1845.55*0.94</f>
        <v>1734.8169999999998</v>
      </c>
      <c r="J80" s="36">
        <f t="shared" si="10"/>
        <v>8317975.1366947666</v>
      </c>
      <c r="K80" s="38" t="s">
        <v>16</v>
      </c>
    </row>
    <row r="81" spans="1:11" ht="15.6" x14ac:dyDescent="0.3">
      <c r="A81" s="3">
        <v>45013</v>
      </c>
      <c r="B81" s="37" t="s">
        <v>28</v>
      </c>
      <c r="C81" s="46" t="s">
        <v>9</v>
      </c>
      <c r="D81" s="41" t="s">
        <v>40</v>
      </c>
      <c r="E81" s="46" t="s">
        <v>29</v>
      </c>
      <c r="F81" s="10">
        <v>149137.20000000001</v>
      </c>
      <c r="G81" s="9">
        <v>3.2150747E-2</v>
      </c>
      <c r="H81" s="10">
        <f>F81*G81</f>
        <v>4794.8723854884001</v>
      </c>
      <c r="I81" s="10">
        <f>1962.85*0.94</f>
        <v>1845.0789999999997</v>
      </c>
      <c r="J81" s="36">
        <f t="shared" si="10"/>
        <v>8846918.3461445514</v>
      </c>
      <c r="K81" s="38" t="s">
        <v>16</v>
      </c>
    </row>
    <row r="82" spans="1:11" ht="15.6" x14ac:dyDescent="0.3">
      <c r="A82" s="3">
        <v>45030</v>
      </c>
      <c r="B82" s="37" t="s">
        <v>28</v>
      </c>
      <c r="C82" s="46" t="s">
        <v>9</v>
      </c>
      <c r="D82" s="41" t="s">
        <v>40</v>
      </c>
      <c r="E82" s="46" t="s">
        <v>29</v>
      </c>
      <c r="F82" s="10">
        <v>149134.6</v>
      </c>
      <c r="G82" s="9">
        <v>3.2150747E-2</v>
      </c>
      <c r="H82" s="13">
        <f>+F82*G82</f>
        <v>4794.7887935462004</v>
      </c>
      <c r="I82" s="10">
        <f>2035.65*0.94</f>
        <v>1913.511</v>
      </c>
      <c r="J82" s="36">
        <f t="shared" si="10"/>
        <v>9174881.0991273839</v>
      </c>
      <c r="K82" s="38" t="s">
        <v>16</v>
      </c>
    </row>
    <row r="83" spans="1:11" ht="15.6" x14ac:dyDescent="0.3">
      <c r="A83" s="3">
        <v>45044</v>
      </c>
      <c r="B83" s="37" t="s">
        <v>28</v>
      </c>
      <c r="C83" s="46" t="s">
        <v>9</v>
      </c>
      <c r="D83" s="41" t="s">
        <v>40</v>
      </c>
      <c r="E83" s="46" t="s">
        <v>29</v>
      </c>
      <c r="F83" s="10">
        <v>149129.29999999999</v>
      </c>
      <c r="G83" s="9">
        <v>3.2150747E-2</v>
      </c>
      <c r="H83" s="13">
        <f>+F83*G83</f>
        <v>4794.6183945870998</v>
      </c>
      <c r="I83" s="10">
        <f>1982.7*0.94</f>
        <v>1863.7379999999998</v>
      </c>
      <c r="J83" s="36">
        <f t="shared" si="10"/>
        <v>8935912.4974909723</v>
      </c>
      <c r="K83" s="38" t="s">
        <v>16</v>
      </c>
    </row>
    <row r="84" spans="1:11" ht="15.6" x14ac:dyDescent="0.3">
      <c r="A84" s="3">
        <v>45055</v>
      </c>
      <c r="B84" s="37" t="s">
        <v>28</v>
      </c>
      <c r="C84" s="46" t="s">
        <v>9</v>
      </c>
      <c r="D84" s="41" t="s">
        <v>40</v>
      </c>
      <c r="E84" s="46" t="s">
        <v>29</v>
      </c>
      <c r="F84" s="5">
        <v>149138.20000000001</v>
      </c>
      <c r="G84" s="9">
        <v>3.2150747E-2</v>
      </c>
      <c r="H84" s="10">
        <f t="shared" ref="H84:H90" si="11">F84*G84</f>
        <v>4794.9045362354</v>
      </c>
      <c r="I84" s="10">
        <f>2030.2*0.94</f>
        <v>1908.3879999999999</v>
      </c>
      <c r="J84" s="36">
        <f t="shared" si="10"/>
        <v>9150538.278097203</v>
      </c>
      <c r="K84" s="38" t="s">
        <v>16</v>
      </c>
    </row>
    <row r="85" spans="1:11" ht="15.6" x14ac:dyDescent="0.3">
      <c r="A85" s="3">
        <v>45083</v>
      </c>
      <c r="B85" s="37" t="s">
        <v>28</v>
      </c>
      <c r="C85" s="46" t="s">
        <v>9</v>
      </c>
      <c r="D85" s="41" t="s">
        <v>40</v>
      </c>
      <c r="E85" s="46" t="s">
        <v>29</v>
      </c>
      <c r="F85" s="5">
        <v>149129</v>
      </c>
      <c r="G85" s="9">
        <v>3.2150747E-2</v>
      </c>
      <c r="H85" s="10">
        <f t="shared" si="11"/>
        <v>4794.6087493630002</v>
      </c>
      <c r="I85" s="10">
        <f>1961.9*0.94</f>
        <v>1844.1859999999999</v>
      </c>
      <c r="J85" s="36">
        <f>H85*I85</f>
        <v>8842150.3310527541</v>
      </c>
      <c r="K85" s="38" t="s">
        <v>16</v>
      </c>
    </row>
    <row r="86" spans="1:11" ht="15.6" x14ac:dyDescent="0.3">
      <c r="A86" s="3" t="s">
        <v>30</v>
      </c>
      <c r="B86" s="37" t="s">
        <v>28</v>
      </c>
      <c r="C86" s="46" t="s">
        <v>9</v>
      </c>
      <c r="D86" s="41" t="s">
        <v>40</v>
      </c>
      <c r="E86" s="46" t="s">
        <v>29</v>
      </c>
      <c r="F86" s="5">
        <v>149124.29999999999</v>
      </c>
      <c r="G86" s="9">
        <v>3.2150747E-2</v>
      </c>
      <c r="H86" s="10">
        <f t="shared" si="11"/>
        <v>4794.4576408520998</v>
      </c>
      <c r="I86" s="10">
        <f>1930.7*0.94</f>
        <v>1814.8579999999999</v>
      </c>
      <c r="J86" s="36">
        <f>H86*I86</f>
        <v>8701259.80516156</v>
      </c>
      <c r="K86" s="38" t="s">
        <v>16</v>
      </c>
    </row>
    <row r="87" spans="1:11" ht="15.75" customHeight="1" x14ac:dyDescent="0.3">
      <c r="A87" s="3">
        <v>45132</v>
      </c>
      <c r="B87" s="37" t="s">
        <v>28</v>
      </c>
      <c r="C87" s="46" t="s">
        <v>9</v>
      </c>
      <c r="D87" s="41" t="s">
        <v>40</v>
      </c>
      <c r="E87" s="46" t="s">
        <v>29</v>
      </c>
      <c r="F87" s="5">
        <v>74570.600000000006</v>
      </c>
      <c r="G87" s="9">
        <v>3.2150747E-2</v>
      </c>
      <c r="H87" s="10">
        <f t="shared" si="11"/>
        <v>2397.5004942382002</v>
      </c>
      <c r="I87" s="10">
        <f>1963.1*0.94</f>
        <v>1845.3139999999999</v>
      </c>
      <c r="J87" s="36">
        <f t="shared" ref="J87:J106" si="12">+H87*I87</f>
        <v>4424141.2270246698</v>
      </c>
      <c r="K87" s="38" t="s">
        <v>31</v>
      </c>
    </row>
    <row r="88" spans="1:11" ht="15.75" customHeight="1" x14ac:dyDescent="0.3">
      <c r="A88" s="3">
        <v>45142</v>
      </c>
      <c r="B88" s="37" t="s">
        <v>28</v>
      </c>
      <c r="C88" s="46" t="s">
        <v>9</v>
      </c>
      <c r="D88" s="41" t="s">
        <v>40</v>
      </c>
      <c r="E88" s="46" t="s">
        <v>29</v>
      </c>
      <c r="F88" s="5">
        <v>74571.100000000006</v>
      </c>
      <c r="G88" s="9">
        <v>3.2150747E-2</v>
      </c>
      <c r="H88" s="10">
        <f t="shared" si="11"/>
        <v>2397.5165696117001</v>
      </c>
      <c r="I88" s="10">
        <f>1942.45*0.94</f>
        <v>1825.903</v>
      </c>
      <c r="J88" s="36">
        <f t="shared" si="12"/>
        <v>4377632.6970037119</v>
      </c>
      <c r="K88" s="38" t="s">
        <v>31</v>
      </c>
    </row>
    <row r="89" spans="1:11" ht="15.75" customHeight="1" x14ac:dyDescent="0.3">
      <c r="A89" s="3">
        <v>45156</v>
      </c>
      <c r="B89" s="37" t="s">
        <v>28</v>
      </c>
      <c r="C89" s="46" t="s">
        <v>9</v>
      </c>
      <c r="D89" s="41" t="s">
        <v>40</v>
      </c>
      <c r="E89" s="46" t="s">
        <v>29</v>
      </c>
      <c r="F89" s="5">
        <v>74563.3</v>
      </c>
      <c r="G89" s="9">
        <v>3.2150747E-2</v>
      </c>
      <c r="H89" s="10">
        <f t="shared" si="11"/>
        <v>2397.2657937851</v>
      </c>
      <c r="I89" s="10">
        <f>1893.7*0.94</f>
        <v>1780.078</v>
      </c>
      <c r="J89" s="36">
        <f t="shared" si="12"/>
        <v>4267320.0996693932</v>
      </c>
      <c r="K89" s="38" t="s">
        <v>31</v>
      </c>
    </row>
    <row r="90" spans="1:11" ht="15.75" customHeight="1" x14ac:dyDescent="0.3">
      <c r="A90" s="3">
        <v>45163</v>
      </c>
      <c r="B90" s="37" t="s">
        <v>28</v>
      </c>
      <c r="C90" s="46" t="s">
        <v>9</v>
      </c>
      <c r="D90" s="41" t="s">
        <v>40</v>
      </c>
      <c r="E90" s="46" t="s">
        <v>29</v>
      </c>
      <c r="F90" s="5">
        <v>74559.3</v>
      </c>
      <c r="G90" s="9">
        <v>3.2150747E-2</v>
      </c>
      <c r="H90" s="10">
        <f t="shared" si="11"/>
        <v>2397.1371907971002</v>
      </c>
      <c r="I90" s="10">
        <f>1917.85*0.94</f>
        <v>1802.7789999999998</v>
      </c>
      <c r="J90" s="36">
        <f t="shared" si="12"/>
        <v>4321508.5876880046</v>
      </c>
      <c r="K90" s="38" t="s">
        <v>31</v>
      </c>
    </row>
    <row r="91" spans="1:11" ht="15.75" customHeight="1" x14ac:dyDescent="0.3">
      <c r="A91" s="3">
        <v>45170</v>
      </c>
      <c r="B91" s="37" t="s">
        <v>28</v>
      </c>
      <c r="C91" s="46" t="s">
        <v>9</v>
      </c>
      <c r="D91" s="41" t="s">
        <v>40</v>
      </c>
      <c r="E91" s="46" t="s">
        <v>29</v>
      </c>
      <c r="F91" s="5" t="s">
        <v>32</v>
      </c>
      <c r="G91" s="9">
        <v>3.2150747E-2</v>
      </c>
      <c r="H91" s="10">
        <f>+F91*G91</f>
        <v>2397.4072570718999</v>
      </c>
      <c r="I91" s="10">
        <f>1944.3*0.94</f>
        <v>1827.6419999999998</v>
      </c>
      <c r="J91" s="36">
        <f t="shared" si="12"/>
        <v>4381602.1941294009</v>
      </c>
      <c r="K91" s="38" t="s">
        <v>31</v>
      </c>
    </row>
    <row r="92" spans="1:11" ht="15.75" customHeight="1" x14ac:dyDescent="0.3">
      <c r="A92" s="3">
        <v>45184</v>
      </c>
      <c r="B92" s="37" t="s">
        <v>28</v>
      </c>
      <c r="C92" s="46" t="s">
        <v>9</v>
      </c>
      <c r="D92" s="41" t="s">
        <v>40</v>
      </c>
      <c r="E92" s="46" t="s">
        <v>29</v>
      </c>
      <c r="F92" s="5" t="s">
        <v>33</v>
      </c>
      <c r="G92" s="9">
        <v>3.2150747E-2</v>
      </c>
      <c r="H92" s="10">
        <f>+F92*G92</f>
        <v>2396.8606943729001</v>
      </c>
      <c r="I92" s="10">
        <v>1918.7</v>
      </c>
      <c r="J92" s="36">
        <f t="shared" si="12"/>
        <v>4598856.6142932838</v>
      </c>
      <c r="K92" s="38" t="s">
        <v>31</v>
      </c>
    </row>
    <row r="93" spans="1:11" ht="15.75" customHeight="1" x14ac:dyDescent="0.3">
      <c r="A93" s="3">
        <v>45198</v>
      </c>
      <c r="B93" s="37" t="s">
        <v>28</v>
      </c>
      <c r="C93" s="46" t="s">
        <v>9</v>
      </c>
      <c r="D93" s="41" t="s">
        <v>40</v>
      </c>
      <c r="E93" s="46" t="s">
        <v>29</v>
      </c>
      <c r="F93" s="5" t="s">
        <v>34</v>
      </c>
      <c r="G93" s="9">
        <v>3.2150747E-2</v>
      </c>
      <c r="H93" s="10">
        <f>+F93*G93</f>
        <v>2397.3526008019999</v>
      </c>
      <c r="I93" s="10">
        <v>1871.6</v>
      </c>
      <c r="J93" s="36">
        <f t="shared" si="12"/>
        <v>4486885.1276610224</v>
      </c>
      <c r="K93" s="38" t="s">
        <v>31</v>
      </c>
    </row>
    <row r="94" spans="1:11" ht="15.75" customHeight="1" x14ac:dyDescent="0.3">
      <c r="A94" s="3">
        <v>45217</v>
      </c>
      <c r="B94" s="37" t="s">
        <v>28</v>
      </c>
      <c r="C94" s="46" t="s">
        <v>9</v>
      </c>
      <c r="D94" s="41" t="s">
        <v>40</v>
      </c>
      <c r="E94" s="46" t="s">
        <v>29</v>
      </c>
      <c r="F94" s="5" t="s">
        <v>35</v>
      </c>
      <c r="G94" s="9">
        <v>3.2150747E-2</v>
      </c>
      <c r="H94" s="10">
        <f>F94*G94</f>
        <v>2397.1854169175999</v>
      </c>
      <c r="I94" s="10">
        <v>1943.85</v>
      </c>
      <c r="J94" s="36">
        <f t="shared" si="12"/>
        <v>4659768.8726752764</v>
      </c>
      <c r="K94" s="38" t="s">
        <v>31</v>
      </c>
    </row>
    <row r="95" spans="1:11" ht="15.75" customHeight="1" x14ac:dyDescent="0.3">
      <c r="A95" s="3">
        <v>45231</v>
      </c>
      <c r="B95" s="37" t="s">
        <v>28</v>
      </c>
      <c r="C95" s="46" t="s">
        <v>9</v>
      </c>
      <c r="D95" s="41" t="s">
        <v>40</v>
      </c>
      <c r="E95" s="46" t="s">
        <v>29</v>
      </c>
      <c r="F95" s="5">
        <v>74562.100000000006</v>
      </c>
      <c r="G95" s="9">
        <v>3.2150747E-2</v>
      </c>
      <c r="H95" s="10">
        <f>F95*G95</f>
        <v>2397.2272128887003</v>
      </c>
      <c r="I95" s="10">
        <v>1982.5</v>
      </c>
      <c r="J95" s="36">
        <f t="shared" si="12"/>
        <v>4752502.9495518487</v>
      </c>
      <c r="K95" s="38" t="s">
        <v>31</v>
      </c>
    </row>
    <row r="96" spans="1:11" ht="15.75" customHeight="1" x14ac:dyDescent="0.3">
      <c r="A96" s="3">
        <v>45247</v>
      </c>
      <c r="B96" s="37" t="s">
        <v>28</v>
      </c>
      <c r="C96" s="46" t="s">
        <v>9</v>
      </c>
      <c r="D96" s="41" t="s">
        <v>40</v>
      </c>
      <c r="E96" s="46" t="s">
        <v>29</v>
      </c>
      <c r="F96" s="5">
        <v>74560.5</v>
      </c>
      <c r="G96" s="9">
        <v>3.2150747E-2</v>
      </c>
      <c r="H96" s="10">
        <f>F96*G96</f>
        <v>2397.1757716934999</v>
      </c>
      <c r="I96" s="10">
        <v>1992.15</v>
      </c>
      <c r="J96" s="36">
        <f t="shared" si="12"/>
        <v>4775533.7135792058</v>
      </c>
      <c r="K96" s="38" t="s">
        <v>31</v>
      </c>
    </row>
    <row r="97" spans="1:11" ht="15.75" customHeight="1" x14ac:dyDescent="0.3">
      <c r="A97" s="3">
        <v>45252</v>
      </c>
      <c r="B97" s="37" t="s">
        <v>28</v>
      </c>
      <c r="C97" s="46" t="s">
        <v>9</v>
      </c>
      <c r="D97" s="41" t="s">
        <v>40</v>
      </c>
      <c r="E97" s="46" t="s">
        <v>29</v>
      </c>
      <c r="F97" s="5">
        <v>74572</v>
      </c>
      <c r="G97" s="9">
        <v>3.2150747E-2</v>
      </c>
      <c r="H97" s="10">
        <f>F97*G97</f>
        <v>2397.5455052840002</v>
      </c>
      <c r="I97" s="10">
        <v>1999.9</v>
      </c>
      <c r="J97" s="36">
        <f t="shared" si="12"/>
        <v>4794851.2560174726</v>
      </c>
      <c r="K97" s="38" t="s">
        <v>31</v>
      </c>
    </row>
    <row r="98" spans="1:11" ht="15.75" customHeight="1" x14ac:dyDescent="0.3">
      <c r="A98" s="3">
        <v>45266</v>
      </c>
      <c r="B98" s="37" t="s">
        <v>28</v>
      </c>
      <c r="C98" s="46" t="s">
        <v>9</v>
      </c>
      <c r="D98" s="41" t="s">
        <v>40</v>
      </c>
      <c r="E98" s="46" t="s">
        <v>29</v>
      </c>
      <c r="F98" s="5" t="s">
        <v>36</v>
      </c>
      <c r="G98" s="9">
        <v>3.2150747E-2</v>
      </c>
      <c r="H98" s="10">
        <f>F98*G98</f>
        <v>2396.7771024307003</v>
      </c>
      <c r="I98" s="10">
        <v>2021.4</v>
      </c>
      <c r="J98" s="36">
        <f t="shared" si="12"/>
        <v>4844845.2348534176</v>
      </c>
      <c r="K98" s="38" t="s">
        <v>31</v>
      </c>
    </row>
    <row r="99" spans="1:11" ht="15.6" x14ac:dyDescent="0.3">
      <c r="A99" s="3">
        <v>44944</v>
      </c>
      <c r="B99" s="3" t="s">
        <v>45</v>
      </c>
      <c r="C99" s="45" t="s">
        <v>9</v>
      </c>
      <c r="D99" s="41" t="s">
        <v>40</v>
      </c>
      <c r="E99" s="45" t="s">
        <v>10</v>
      </c>
      <c r="F99" s="5">
        <v>75038.98</v>
      </c>
      <c r="G99" s="9">
        <v>3.2150747E-2</v>
      </c>
      <c r="H99" s="10">
        <f>+F99*G99</f>
        <v>2412.55926111806</v>
      </c>
      <c r="I99" s="10">
        <f>1920.7*0.94</f>
        <v>1805.4579999999999</v>
      </c>
      <c r="J99" s="10">
        <f t="shared" si="12"/>
        <v>4355774.4184596902</v>
      </c>
      <c r="K99" s="38" t="s">
        <v>16</v>
      </c>
    </row>
    <row r="100" spans="1:11" ht="15.6" x14ac:dyDescent="0.3">
      <c r="A100" s="3">
        <v>44986</v>
      </c>
      <c r="B100" s="3" t="s">
        <v>45</v>
      </c>
      <c r="C100" s="45" t="s">
        <v>9</v>
      </c>
      <c r="D100" s="41" t="s">
        <v>40</v>
      </c>
      <c r="E100" s="45" t="s">
        <v>10</v>
      </c>
      <c r="F100" s="5">
        <v>56500.52</v>
      </c>
      <c r="G100" s="9">
        <v>3.2150747E-2</v>
      </c>
      <c r="H100" s="13">
        <f>+F100*G100</f>
        <v>1816.5339238884399</v>
      </c>
      <c r="I100" s="10">
        <f>1841.25*0.94</f>
        <v>1730.7749999999999</v>
      </c>
      <c r="J100" s="10">
        <f t="shared" si="12"/>
        <v>3144011.5021180143</v>
      </c>
      <c r="K100" s="38" t="s">
        <v>16</v>
      </c>
    </row>
    <row r="101" spans="1:11" ht="15.6" x14ac:dyDescent="0.3">
      <c r="A101" s="3">
        <v>45028</v>
      </c>
      <c r="B101" s="3" t="s">
        <v>45</v>
      </c>
      <c r="C101" s="45" t="s">
        <v>9</v>
      </c>
      <c r="D101" s="41" t="s">
        <v>40</v>
      </c>
      <c r="E101" s="45" t="s">
        <v>10</v>
      </c>
      <c r="F101" s="39">
        <v>58396.89</v>
      </c>
      <c r="G101" s="12">
        <v>3.2150747E-2</v>
      </c>
      <c r="H101" s="13">
        <f>F101*G101</f>
        <v>1877.5036359768301</v>
      </c>
      <c r="I101" s="10">
        <f>2008.9*0.94</f>
        <v>1888.366</v>
      </c>
      <c r="J101" s="36">
        <f t="shared" si="12"/>
        <v>3545414.0310550225</v>
      </c>
      <c r="K101" s="38" t="s">
        <v>16</v>
      </c>
    </row>
    <row r="102" spans="1:11" ht="15.6" x14ac:dyDescent="0.3">
      <c r="A102" s="3">
        <v>45070</v>
      </c>
      <c r="B102" s="3" t="s">
        <v>45</v>
      </c>
      <c r="C102" s="45" t="s">
        <v>9</v>
      </c>
      <c r="D102" s="41" t="s">
        <v>40</v>
      </c>
      <c r="E102" s="45" t="s">
        <v>10</v>
      </c>
      <c r="F102" s="39">
        <v>64794.15</v>
      </c>
      <c r="G102" s="12">
        <v>3.2150747E-2</v>
      </c>
      <c r="H102" s="13">
        <f>+F102*G102</f>
        <v>2083.1803237300501</v>
      </c>
      <c r="I102" s="13">
        <f>1976.8*0.94</f>
        <v>1858.1919999999998</v>
      </c>
      <c r="J102" s="36">
        <f t="shared" si="12"/>
        <v>3870949.0121125886</v>
      </c>
      <c r="K102" s="38" t="s">
        <v>16</v>
      </c>
    </row>
    <row r="103" spans="1:11" ht="15.6" x14ac:dyDescent="0.3">
      <c r="A103" s="3">
        <v>45119</v>
      </c>
      <c r="B103" s="3" t="s">
        <v>45</v>
      </c>
      <c r="C103" s="45" t="s">
        <v>9</v>
      </c>
      <c r="D103" s="41" t="s">
        <v>40</v>
      </c>
      <c r="E103" s="45" t="s">
        <v>10</v>
      </c>
      <c r="F103" s="5">
        <v>62700.13</v>
      </c>
      <c r="G103" s="9">
        <v>3.2150747E-2</v>
      </c>
      <c r="H103" s="10">
        <f>+F103*G103</f>
        <v>2015.85601649711</v>
      </c>
      <c r="I103" s="10">
        <f>1953.3*0.94</f>
        <v>1836.1019999999999</v>
      </c>
      <c r="J103" s="10">
        <f t="shared" si="12"/>
        <v>3701317.2636023764</v>
      </c>
      <c r="K103" s="38" t="s">
        <v>16</v>
      </c>
    </row>
    <row r="104" spans="1:11" ht="15.6" x14ac:dyDescent="0.3">
      <c r="A104" s="3">
        <v>45175</v>
      </c>
      <c r="B104" s="3" t="s">
        <v>45</v>
      </c>
      <c r="C104" s="45" t="s">
        <v>9</v>
      </c>
      <c r="D104" s="41" t="s">
        <v>40</v>
      </c>
      <c r="E104" s="45" t="s">
        <v>10</v>
      </c>
      <c r="F104" s="40" t="s">
        <v>37</v>
      </c>
      <c r="G104" s="12">
        <v>3.2150747E-2</v>
      </c>
      <c r="H104" s="13">
        <f>+F104*G104</f>
        <v>2690.4143758862801</v>
      </c>
      <c r="I104" s="13">
        <v>1821.9</v>
      </c>
      <c r="J104" s="13">
        <f t="shared" si="12"/>
        <v>4901665.9514272138</v>
      </c>
      <c r="K104" s="38" t="s">
        <v>16</v>
      </c>
    </row>
    <row r="105" spans="1:11" ht="15.6" x14ac:dyDescent="0.3">
      <c r="A105" s="3">
        <v>45217</v>
      </c>
      <c r="B105" s="3" t="s">
        <v>45</v>
      </c>
      <c r="C105" s="45" t="s">
        <v>9</v>
      </c>
      <c r="D105" s="41" t="s">
        <v>40</v>
      </c>
      <c r="E105" s="45" t="s">
        <v>10</v>
      </c>
      <c r="F105" s="16" t="s">
        <v>38</v>
      </c>
      <c r="G105" s="12">
        <v>3.2150747E-2</v>
      </c>
      <c r="H105" s="13">
        <f>+F105*G105</f>
        <v>1669.85096331299</v>
      </c>
      <c r="I105" s="13">
        <v>1943.85</v>
      </c>
      <c r="J105" s="13">
        <f t="shared" si="12"/>
        <v>3245939.7950359555</v>
      </c>
      <c r="K105" s="38" t="s">
        <v>16</v>
      </c>
    </row>
    <row r="106" spans="1:11" ht="15.6" x14ac:dyDescent="0.3">
      <c r="A106" s="3">
        <v>45259</v>
      </c>
      <c r="B106" s="3" t="s">
        <v>45</v>
      </c>
      <c r="C106" s="45" t="s">
        <v>9</v>
      </c>
      <c r="D106" s="41" t="s">
        <v>40</v>
      </c>
      <c r="E106" s="45" t="s">
        <v>10</v>
      </c>
      <c r="F106" s="16" t="s">
        <v>39</v>
      </c>
      <c r="G106" s="9">
        <v>3.2150747E-2</v>
      </c>
      <c r="H106" s="10">
        <f>+F106*G106</f>
        <v>2365.5915208556398</v>
      </c>
      <c r="I106" s="10">
        <v>2037.6</v>
      </c>
      <c r="J106" s="10">
        <f t="shared" si="12"/>
        <v>4820129.2828954514</v>
      </c>
      <c r="K106" s="38" t="s">
        <v>16</v>
      </c>
    </row>
  </sheetData>
  <sheetProtection algorithmName="SHA-512" hashValue="NDLNyR6HH1OD/UBYWNvFvYqQw78tT2XhATRNH/7/k9phLBGJgB1IaoNB22n1HDL4M3/J9LeaV/w2PsCcdFRARQ==" saltValue="Vg6vFo2/kfMgGvYm2oZvmQ==" spinCount="100000" sheet="1" formatCells="0" formatColumns="0" formatRows="0" insertColumns="0" insertRows="0" insertHyperlinks="0" deleteColumns="0" deleteRows="0" sort="0"/>
  <mergeCells count="11">
    <mergeCell ref="A1:K1"/>
    <mergeCell ref="A2:K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ignoredErrors>
    <ignoredError sqref="I5:I13 I23:I33" formula="1"/>
    <ignoredError sqref="F14:F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Proverbseight   Jones</dc:creator>
  <cp:lastModifiedBy>Guyana Gold Board Guyana Gold Board</cp:lastModifiedBy>
  <dcterms:created xsi:type="dcterms:W3CDTF">2025-08-08T17:41:25Z</dcterms:created>
  <dcterms:modified xsi:type="dcterms:W3CDTF">2025-09-04T18:12:12Z</dcterms:modified>
</cp:coreProperties>
</file>