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mith\Desktop\Exports (Updated)\"/>
    </mc:Choice>
  </mc:AlternateContent>
  <xr:revisionPtr revIDLastSave="0" documentId="13_ncr:1_{84F7E7BE-5E9F-4728-8C52-2D4978631177}" xr6:coauthVersionLast="47" xr6:coauthVersionMax="47" xr10:uidLastSave="{00000000-0000-0000-0000-000000000000}"/>
  <bookViews>
    <workbookView xWindow="28680" yWindow="-120" windowWidth="29040" windowHeight="15720" xr2:uid="{592231F0-BA4D-4309-AEC2-423F48892B7B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" l="1"/>
  <c r="H134" i="1" l="1"/>
  <c r="I6" i="1"/>
  <c r="G166" i="1"/>
  <c r="F166" i="1"/>
  <c r="F139" i="1"/>
  <c r="F130" i="1"/>
  <c r="G102" i="1"/>
  <c r="F102" i="1"/>
  <c r="F84" i="1" l="1"/>
  <c r="F20" i="1"/>
  <c r="G167" i="1"/>
  <c r="I79" i="1"/>
  <c r="I80" i="1"/>
  <c r="I81" i="1"/>
  <c r="H165" i="1"/>
  <c r="J165" i="1" s="1"/>
  <c r="H164" i="1"/>
  <c r="J164" i="1" s="1"/>
  <c r="H163" i="1"/>
  <c r="J163" i="1" s="1"/>
  <c r="H162" i="1"/>
  <c r="J162" i="1" s="1"/>
  <c r="H161" i="1"/>
  <c r="J161" i="1" s="1"/>
  <c r="H160" i="1"/>
  <c r="J160" i="1" s="1"/>
  <c r="H159" i="1"/>
  <c r="J159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H152" i="1"/>
  <c r="J152" i="1" s="1"/>
  <c r="H151" i="1"/>
  <c r="J151" i="1" s="1"/>
  <c r="H150" i="1"/>
  <c r="J150" i="1" s="1"/>
  <c r="H149" i="1"/>
  <c r="J149" i="1" s="1"/>
  <c r="H148" i="1"/>
  <c r="J148" i="1" s="1"/>
  <c r="H147" i="1"/>
  <c r="J147" i="1" s="1"/>
  <c r="H146" i="1"/>
  <c r="J146" i="1" s="1"/>
  <c r="H145" i="1"/>
  <c r="J145" i="1" s="1"/>
  <c r="H144" i="1"/>
  <c r="J144" i="1" s="1"/>
  <c r="H143" i="1"/>
  <c r="J143" i="1" s="1"/>
  <c r="H142" i="1"/>
  <c r="J142" i="1" s="1"/>
  <c r="H141" i="1"/>
  <c r="J141" i="1" s="1"/>
  <c r="H140" i="1"/>
  <c r="F167" i="1" l="1"/>
  <c r="J140" i="1"/>
  <c r="J166" i="1" s="1"/>
  <c r="H166" i="1"/>
  <c r="I138" i="1"/>
  <c r="H138" i="1"/>
  <c r="I137" i="1"/>
  <c r="H137" i="1"/>
  <c r="I136" i="1"/>
  <c r="H136" i="1"/>
  <c r="I135" i="1"/>
  <c r="H135" i="1"/>
  <c r="I134" i="1"/>
  <c r="I133" i="1"/>
  <c r="H133" i="1"/>
  <c r="I132" i="1"/>
  <c r="H132" i="1"/>
  <c r="I131" i="1"/>
  <c r="H131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J111" i="1" s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I83" i="1"/>
  <c r="I82" i="1"/>
  <c r="H82" i="1"/>
  <c r="H81" i="1"/>
  <c r="H80" i="1"/>
  <c r="H79" i="1"/>
  <c r="J79" i="1" s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H6" i="1"/>
  <c r="H5" i="1"/>
  <c r="J5" i="1" s="1"/>
  <c r="J10" i="1" l="1"/>
  <c r="J12" i="1"/>
  <c r="J14" i="1"/>
  <c r="J16" i="1"/>
  <c r="J18" i="1"/>
  <c r="H139" i="1"/>
  <c r="J9" i="1"/>
  <c r="J11" i="1"/>
  <c r="J13" i="1"/>
  <c r="J15" i="1"/>
  <c r="J17" i="1"/>
  <c r="J19" i="1"/>
  <c r="H130" i="1"/>
  <c r="J85" i="1"/>
  <c r="J102" i="1" s="1"/>
  <c r="H102" i="1"/>
  <c r="H84" i="1"/>
  <c r="J22" i="1"/>
  <c r="J40" i="1"/>
  <c r="J42" i="1"/>
  <c r="J44" i="1"/>
  <c r="J50" i="1"/>
  <c r="J64" i="1"/>
  <c r="J118" i="1"/>
  <c r="J126" i="1"/>
  <c r="J131" i="1"/>
  <c r="J137" i="1"/>
  <c r="H20" i="1"/>
  <c r="J23" i="1"/>
  <c r="J25" i="1"/>
  <c r="J31" i="1"/>
  <c r="J33" i="1"/>
  <c r="J35" i="1"/>
  <c r="J39" i="1"/>
  <c r="J41" i="1"/>
  <c r="J43" i="1"/>
  <c r="J51" i="1"/>
  <c r="J55" i="1"/>
  <c r="J59" i="1"/>
  <c r="J65" i="1"/>
  <c r="J69" i="1"/>
  <c r="J75" i="1"/>
  <c r="J129" i="1"/>
  <c r="J76" i="1"/>
  <c r="J53" i="1"/>
  <c r="J63" i="1"/>
  <c r="J49" i="1"/>
  <c r="J106" i="1"/>
  <c r="J117" i="1"/>
  <c r="J127" i="1"/>
  <c r="J52" i="1"/>
  <c r="J62" i="1"/>
  <c r="J27" i="1"/>
  <c r="J57" i="1"/>
  <c r="J67" i="1"/>
  <c r="J77" i="1"/>
  <c r="J60" i="1"/>
  <c r="J61" i="1"/>
  <c r="J71" i="1"/>
  <c r="J81" i="1"/>
  <c r="J110" i="1"/>
  <c r="J72" i="1"/>
  <c r="J32" i="1"/>
  <c r="J73" i="1"/>
  <c r="J83" i="1"/>
  <c r="J104" i="1"/>
  <c r="J56" i="1"/>
  <c r="J132" i="1"/>
  <c r="J112" i="1"/>
  <c r="J114" i="1"/>
  <c r="J6" i="1"/>
  <c r="J128" i="1"/>
  <c r="J38" i="1"/>
  <c r="J24" i="1"/>
  <c r="J120" i="1"/>
  <c r="J121" i="1"/>
  <c r="J122" i="1"/>
  <c r="J113" i="1"/>
  <c r="J123" i="1"/>
  <c r="J134" i="1"/>
  <c r="J26" i="1"/>
  <c r="J47" i="1"/>
  <c r="J48" i="1"/>
  <c r="J58" i="1"/>
  <c r="J68" i="1"/>
  <c r="J115" i="1"/>
  <c r="J125" i="1"/>
  <c r="J136" i="1"/>
  <c r="J109" i="1"/>
  <c r="J107" i="1"/>
  <c r="J21" i="1"/>
  <c r="J108" i="1"/>
  <c r="J74" i="1"/>
  <c r="J66" i="1"/>
  <c r="J133" i="1"/>
  <c r="J116" i="1"/>
  <c r="J135" i="1"/>
  <c r="J105" i="1"/>
  <c r="J124" i="1"/>
  <c r="J7" i="1"/>
  <c r="J70" i="1"/>
  <c r="J8" i="1"/>
  <c r="J80" i="1"/>
  <c r="J34" i="1"/>
  <c r="J36" i="1"/>
  <c r="J45" i="1"/>
  <c r="J54" i="1"/>
  <c r="J119" i="1"/>
  <c r="J138" i="1"/>
  <c r="J28" i="1"/>
  <c r="J37" i="1"/>
  <c r="J46" i="1"/>
  <c r="J30" i="1"/>
  <c r="J78" i="1"/>
  <c r="J29" i="1"/>
  <c r="J82" i="1"/>
  <c r="J103" i="1"/>
  <c r="J20" i="1" l="1"/>
  <c r="J130" i="1"/>
  <c r="J139" i="1"/>
  <c r="H167" i="1"/>
  <c r="J84" i="1"/>
  <c r="J167" i="1" l="1"/>
</calcChain>
</file>

<file path=xl/sharedStrings.xml><?xml version="1.0" encoding="utf-8"?>
<sst xmlns="http://schemas.openxmlformats.org/spreadsheetml/2006/main" count="800" uniqueCount="34">
  <si>
    <t>Date</t>
  </si>
  <si>
    <t>Commodity</t>
  </si>
  <si>
    <t>National/International Classification</t>
  </si>
  <si>
    <t>Operational Location</t>
  </si>
  <si>
    <t>Ounces (oz)</t>
  </si>
  <si>
    <t>USD Price</t>
  </si>
  <si>
    <t xml:space="preserve">USD Value </t>
  </si>
  <si>
    <t>Buyer/Shipped To:</t>
  </si>
  <si>
    <t xml:space="preserve">Dinar Trading </t>
  </si>
  <si>
    <t xml:space="preserve">Gold </t>
  </si>
  <si>
    <t xml:space="preserve">Guyana </t>
  </si>
  <si>
    <t>Precious Metals X Change Group Inc. 1890 NW 95 Avenue Doral Florida 33172</t>
  </si>
  <si>
    <t>Precious Metals X Change Group Inc. 1890 NW 95 Avenue Doral Florida 33173</t>
  </si>
  <si>
    <t xml:space="preserve">El Dorado Trading </t>
  </si>
  <si>
    <t>Gold</t>
  </si>
  <si>
    <t>Guyana</t>
  </si>
  <si>
    <t>Shirpur Gold DMCC, 3605 Oaks Liwa Heights Cluster, WJLT, Dubai, UAE</t>
  </si>
  <si>
    <t>Guyana Gold Board</t>
  </si>
  <si>
    <t xml:space="preserve">Stonex Commodities DMCC, Dubai, UAE </t>
  </si>
  <si>
    <t xml:space="preserve">Nubia Trading DMCC, Dubai </t>
  </si>
  <si>
    <t>Mohamed's Enterprise</t>
  </si>
  <si>
    <t>Budget Gold L.L.C, Deira Water Front Development, Gold Souk, Dubai, UAE</t>
  </si>
  <si>
    <t xml:space="preserve">Pure Diamond Inc. </t>
  </si>
  <si>
    <t>EXPORTS (GOLD) FOR YEAR 2022</t>
  </si>
  <si>
    <t>International</t>
  </si>
  <si>
    <t>Quantity/ Volume</t>
  </si>
  <si>
    <t>Exporting Entity</t>
  </si>
  <si>
    <t>Grams (g)</t>
  </si>
  <si>
    <t>AGM Inc. (Guyana Gold Fields Inc.)</t>
  </si>
  <si>
    <t>Asahi Refining Canada Ltd Lot 130 Glidden Road Brampton, Ontario L6W 3M8</t>
  </si>
  <si>
    <t>The table below provides details on all gold exported by Guyana Gold Board, Licensed Gold Dealers and Foreign Investors (i.e. Large Scale Miners) for year 2022.</t>
  </si>
  <si>
    <t>Value Trading, Jacob Jacobsstraat 58, 2018 Antwerp, Belgium</t>
  </si>
  <si>
    <t>TOTAL</t>
  </si>
  <si>
    <t>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</si>
</sst>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.000000000_);_(* \(#,##0.000000000\);_(* &quot;-&quot;??_);_(@_)"/>
    <numFmt numFmtId="166" formatCode="_(* #,##0.0_);_(* \(#,##0.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5" fontId="4" fillId="0" borderId="2" xfId="0" applyNumberFormat="1" applyFont="1" applyBorder="1" applyAlignment="1">
      <alignment horizontal="left"/>
    </xf>
    <xf numFmtId="15" fontId="4" fillId="0" borderId="1" xfId="0" applyNumberFormat="1" applyFont="1" applyBorder="1" applyAlignment="1">
      <alignment horizontal="center"/>
    </xf>
    <xf numFmtId="15" fontId="4" fillId="0" borderId="2" xfId="0" applyNumberFormat="1" applyFont="1" applyBorder="1" applyAlignment="1">
      <alignment horizontal="center"/>
    </xf>
    <xf numFmtId="43" fontId="4" fillId="0" borderId="1" xfId="1" applyFont="1" applyFill="1" applyBorder="1"/>
    <xf numFmtId="165" fontId="4" fillId="0" borderId="2" xfId="1" applyNumberFormat="1" applyFont="1" applyFill="1" applyBorder="1"/>
    <xf numFmtId="43" fontId="4" fillId="0" borderId="2" xfId="1" applyFont="1" applyBorder="1"/>
    <xf numFmtId="43" fontId="4" fillId="0" borderId="2" xfId="1" applyFont="1" applyFill="1" applyBorder="1"/>
    <xf numFmtId="43" fontId="4" fillId="0" borderId="2" xfId="0" applyNumberFormat="1" applyFont="1" applyBorder="1"/>
    <xf numFmtId="165" fontId="4" fillId="0" borderId="1" xfId="1" applyNumberFormat="1" applyFont="1" applyFill="1" applyBorder="1"/>
    <xf numFmtId="43" fontId="4" fillId="0" borderId="1" xfId="1" applyFont="1" applyBorder="1"/>
    <xf numFmtId="165" fontId="4" fillId="0" borderId="1" xfId="1" applyNumberFormat="1" applyFont="1" applyBorder="1"/>
    <xf numFmtId="43" fontId="4" fillId="0" borderId="1" xfId="1" applyFont="1" applyBorder="1" applyAlignment="1">
      <alignment vertical="center"/>
    </xf>
    <xf numFmtId="15" fontId="4" fillId="0" borderId="3" xfId="0" applyNumberFormat="1" applyFont="1" applyBorder="1" applyAlignment="1">
      <alignment horizontal="left"/>
    </xf>
    <xf numFmtId="15" fontId="4" fillId="0" borderId="4" xfId="0" applyNumberFormat="1" applyFont="1" applyBorder="1" applyAlignment="1">
      <alignment horizontal="left"/>
    </xf>
    <xf numFmtId="15" fontId="4" fillId="0" borderId="4" xfId="0" applyNumberFormat="1" applyFont="1" applyBorder="1" applyAlignment="1">
      <alignment horizontal="center"/>
    </xf>
    <xf numFmtId="43" fontId="4" fillId="0" borderId="1" xfId="0" applyNumberFormat="1" applyFont="1" applyBorder="1"/>
    <xf numFmtId="166" fontId="4" fillId="0" borderId="1" xfId="1" applyNumberFormat="1" applyFont="1" applyBorder="1"/>
    <xf numFmtId="166" fontId="4" fillId="0" borderId="1" xfId="1" applyNumberFormat="1" applyFont="1" applyBorder="1" applyAlignment="1">
      <alignment horizontal="center"/>
    </xf>
    <xf numFmtId="15" fontId="4" fillId="0" borderId="6" xfId="0" applyNumberFormat="1" applyFont="1" applyBorder="1" applyAlignment="1">
      <alignment horizontal="left"/>
    </xf>
    <xf numFmtId="0" fontId="6" fillId="0" borderId="7" xfId="0" applyFont="1" applyBorder="1"/>
    <xf numFmtId="0" fontId="6" fillId="0" borderId="5" xfId="0" applyFont="1" applyBorder="1"/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5" fontId="4" fillId="0" borderId="8" xfId="0" applyNumberFormat="1" applyFont="1" applyBorder="1" applyAlignment="1">
      <alignment horizontal="left"/>
    </xf>
    <xf numFmtId="15" fontId="4" fillId="0" borderId="9" xfId="0" applyNumberFormat="1" applyFont="1" applyBorder="1" applyAlignment="1">
      <alignment horizontal="left"/>
    </xf>
    <xf numFmtId="15" fontId="4" fillId="0" borderId="9" xfId="0" applyNumberFormat="1" applyFont="1" applyBorder="1" applyAlignment="1">
      <alignment horizontal="center"/>
    </xf>
    <xf numFmtId="166" fontId="4" fillId="0" borderId="10" xfId="1" applyNumberFormat="1" applyFont="1" applyBorder="1" applyAlignment="1">
      <alignment horizontal="center"/>
    </xf>
    <xf numFmtId="165" fontId="4" fillId="0" borderId="10" xfId="1" applyNumberFormat="1" applyFont="1" applyBorder="1"/>
    <xf numFmtId="43" fontId="4" fillId="0" borderId="10" xfId="1" applyFont="1" applyBorder="1"/>
    <xf numFmtId="0" fontId="4" fillId="0" borderId="7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3" fontId="5" fillId="0" borderId="1" xfId="1" applyFont="1" applyFill="1" applyBorder="1"/>
    <xf numFmtId="43" fontId="5" fillId="0" borderId="21" xfId="1" applyFont="1" applyFill="1" applyBorder="1"/>
    <xf numFmtId="43" fontId="5" fillId="0" borderId="22" xfId="1" applyFont="1" applyFill="1" applyBorder="1"/>
    <xf numFmtId="165" fontId="4" fillId="0" borderId="2" xfId="1" applyNumberFormat="1" applyFont="1" applyBorder="1"/>
    <xf numFmtId="0" fontId="4" fillId="0" borderId="0" xfId="0" applyFont="1"/>
    <xf numFmtId="43" fontId="5" fillId="0" borderId="18" xfId="0" applyNumberFormat="1" applyFont="1" applyBorder="1"/>
    <xf numFmtId="43" fontId="4" fillId="0" borderId="18" xfId="0" applyNumberFormat="1" applyFont="1" applyBorder="1"/>
    <xf numFmtId="0" fontId="4" fillId="0" borderId="12" xfId="0" applyFont="1" applyBorder="1"/>
    <xf numFmtId="164" fontId="5" fillId="0" borderId="18" xfId="0" applyNumberFormat="1" applyFont="1" applyBorder="1"/>
    <xf numFmtId="43" fontId="5" fillId="0" borderId="11" xfId="0" applyNumberFormat="1" applyFont="1" applyBorder="1"/>
    <xf numFmtId="164" fontId="5" fillId="0" borderId="11" xfId="0" applyNumberFormat="1" applyFont="1" applyBorder="1"/>
    <xf numFmtId="43" fontId="5" fillId="0" borderId="25" xfId="0" applyNumberFormat="1" applyFont="1" applyBorder="1"/>
    <xf numFmtId="164" fontId="5" fillId="0" borderId="25" xfId="0" applyNumberFormat="1" applyFont="1" applyBorder="1"/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5" fontId="5" fillId="0" borderId="24" xfId="0" applyNumberFormat="1" applyFont="1" applyBorder="1" applyAlignment="1">
      <alignment horizontal="center"/>
    </xf>
    <xf numFmtId="15" fontId="5" fillId="0" borderId="23" xfId="0" applyNumberFormat="1" applyFont="1" applyBorder="1" applyAlignment="1">
      <alignment horizontal="center"/>
    </xf>
    <xf numFmtId="15" fontId="5" fillId="0" borderId="4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5AA5-2379-4F16-938F-3DE6715BE561}">
  <dimension ref="A1:K167"/>
  <sheetViews>
    <sheetView tabSelected="1" zoomScale="90" zoomScaleNormal="90" workbookViewId="0">
      <selection activeCell="A169" sqref="A169"/>
    </sheetView>
  </sheetViews>
  <sheetFormatPr defaultRowHeight="14.4" x14ac:dyDescent="0.3"/>
  <cols>
    <col min="1" max="1" width="11" customWidth="1"/>
    <col min="2" max="2" width="35.33203125" bestFit="1" customWidth="1"/>
    <col min="3" max="3" width="11.6640625" hidden="1" customWidth="1"/>
    <col min="4" max="4" width="35.109375" bestFit="1" customWidth="1"/>
    <col min="5" max="5" width="23.5546875" customWidth="1"/>
    <col min="6" max="6" width="19.6640625" customWidth="1"/>
    <col min="7" max="7" width="14.5546875" hidden="1" customWidth="1"/>
    <col min="8" max="8" width="15.44140625" customWidth="1"/>
    <col min="9" max="9" width="16.44140625" customWidth="1"/>
    <col min="10" max="10" width="17.109375" customWidth="1"/>
    <col min="11" max="11" width="74.5546875" bestFit="1" customWidth="1"/>
  </cols>
  <sheetData>
    <row r="1" spans="1:11" ht="46.2" customHeight="1" thickBot="1" x14ac:dyDescent="0.35">
      <c r="A1" s="47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1" ht="46.2" customHeight="1" thickBot="1" x14ac:dyDescent="0.35">
      <c r="A2" s="63" t="s">
        <v>30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4.6" customHeight="1" x14ac:dyDescent="0.3">
      <c r="A3" s="51" t="s">
        <v>0</v>
      </c>
      <c r="B3" s="53" t="s">
        <v>26</v>
      </c>
      <c r="C3" s="53" t="s">
        <v>1</v>
      </c>
      <c r="D3" s="55" t="s">
        <v>2</v>
      </c>
      <c r="E3" s="55" t="s">
        <v>3</v>
      </c>
      <c r="F3" s="50" t="s">
        <v>25</v>
      </c>
      <c r="G3" s="50"/>
      <c r="H3" s="50"/>
      <c r="I3" s="57" t="s">
        <v>5</v>
      </c>
      <c r="J3" s="59" t="s">
        <v>6</v>
      </c>
      <c r="K3" s="61" t="s">
        <v>7</v>
      </c>
    </row>
    <row r="4" spans="1:11" ht="41.4" customHeight="1" thickBot="1" x14ac:dyDescent="0.35">
      <c r="A4" s="52"/>
      <c r="B4" s="54"/>
      <c r="C4" s="54"/>
      <c r="D4" s="56"/>
      <c r="E4" s="56"/>
      <c r="F4" s="32" t="s">
        <v>27</v>
      </c>
      <c r="G4" s="33"/>
      <c r="H4" s="32" t="s">
        <v>4</v>
      </c>
      <c r="I4" s="58"/>
      <c r="J4" s="60"/>
      <c r="K4" s="62"/>
    </row>
    <row r="5" spans="1:11" ht="15.6" x14ac:dyDescent="0.3">
      <c r="A5" s="19">
        <v>44571</v>
      </c>
      <c r="B5" s="1" t="s">
        <v>8</v>
      </c>
      <c r="C5" s="3" t="s">
        <v>9</v>
      </c>
      <c r="D5" s="3" t="s">
        <v>24</v>
      </c>
      <c r="E5" s="3" t="s">
        <v>10</v>
      </c>
      <c r="F5" s="7">
        <v>25596</v>
      </c>
      <c r="G5" s="5">
        <v>3.2150747E-2</v>
      </c>
      <c r="H5" s="6">
        <f t="shared" ref="H5:H19" si="0">+F5*G5</f>
        <v>822.93052021200003</v>
      </c>
      <c r="I5" s="7">
        <v>1829.7570000000001</v>
      </c>
      <c r="J5" s="8">
        <f>+H5*I5</f>
        <v>1505762.8798715486</v>
      </c>
      <c r="K5" s="20" t="s">
        <v>11</v>
      </c>
    </row>
    <row r="6" spans="1:11" ht="15.6" x14ac:dyDescent="0.3">
      <c r="A6" s="13">
        <v>44592</v>
      </c>
      <c r="B6" s="1" t="s">
        <v>8</v>
      </c>
      <c r="C6" s="2" t="s">
        <v>9</v>
      </c>
      <c r="D6" s="3" t="s">
        <v>24</v>
      </c>
      <c r="E6" s="3" t="s">
        <v>10</v>
      </c>
      <c r="F6" s="4">
        <v>25846</v>
      </c>
      <c r="G6" s="9">
        <v>3.2150747E-2</v>
      </c>
      <c r="H6" s="6">
        <f t="shared" si="0"/>
        <v>830.96820696199995</v>
      </c>
      <c r="I6" s="4">
        <f>1795.25*0.94</f>
        <v>1687.5349999999999</v>
      </c>
      <c r="J6" s="8">
        <f t="shared" ref="J6:J52" si="1">+H6*I6</f>
        <v>1402287.9331356185</v>
      </c>
      <c r="K6" s="21" t="s">
        <v>12</v>
      </c>
    </row>
    <row r="7" spans="1:11" ht="15.6" x14ac:dyDescent="0.3">
      <c r="A7" s="13">
        <v>44614</v>
      </c>
      <c r="B7" s="1" t="s">
        <v>8</v>
      </c>
      <c r="C7" s="3" t="s">
        <v>9</v>
      </c>
      <c r="D7" s="3" t="s">
        <v>24</v>
      </c>
      <c r="E7" s="3" t="s">
        <v>10</v>
      </c>
      <c r="F7" s="4">
        <v>25659</v>
      </c>
      <c r="G7" s="9">
        <v>3.2150747E-2</v>
      </c>
      <c r="H7" s="6">
        <f t="shared" si="0"/>
        <v>824.95601727300004</v>
      </c>
      <c r="I7" s="4">
        <f>1899.15*0.94</f>
        <v>1785.201</v>
      </c>
      <c r="J7" s="8">
        <f t="shared" si="1"/>
        <v>1472712.3069917769</v>
      </c>
      <c r="K7" s="20" t="s">
        <v>12</v>
      </c>
    </row>
    <row r="8" spans="1:11" ht="15.6" x14ac:dyDescent="0.3">
      <c r="A8" s="13">
        <v>44641</v>
      </c>
      <c r="B8" s="1" t="s">
        <v>8</v>
      </c>
      <c r="C8" s="3" t="s">
        <v>9</v>
      </c>
      <c r="D8" s="3" t="s">
        <v>24</v>
      </c>
      <c r="E8" s="3" t="s">
        <v>10</v>
      </c>
      <c r="F8" s="4">
        <v>25754</v>
      </c>
      <c r="G8" s="9">
        <v>3.2150747E-2</v>
      </c>
      <c r="H8" s="6">
        <f t="shared" si="0"/>
        <v>828.01033823800003</v>
      </c>
      <c r="I8" s="4">
        <f>1935.05*0.94</f>
        <v>1818.9469999999999</v>
      </c>
      <c r="J8" s="8">
        <f t="shared" si="1"/>
        <v>1506106.9207069953</v>
      </c>
      <c r="K8" s="20" t="s">
        <v>12</v>
      </c>
    </row>
    <row r="9" spans="1:11" ht="15.6" x14ac:dyDescent="0.3">
      <c r="A9" s="13">
        <v>44662</v>
      </c>
      <c r="B9" s="1" t="s">
        <v>8</v>
      </c>
      <c r="C9" s="3" t="s">
        <v>9</v>
      </c>
      <c r="D9" s="3" t="s">
        <v>24</v>
      </c>
      <c r="E9" s="3" t="s">
        <v>10</v>
      </c>
      <c r="F9" s="4">
        <v>25567</v>
      </c>
      <c r="G9" s="9">
        <v>3.2150747E-2</v>
      </c>
      <c r="H9" s="6">
        <f t="shared" si="0"/>
        <v>821.99814854900001</v>
      </c>
      <c r="I9" s="4">
        <f>1956.85*0.94</f>
        <v>1839.4389999999999</v>
      </c>
      <c r="J9" s="8">
        <f t="shared" ref="J9:J19" si="2">+H9*I9</f>
        <v>1512015.4523688238</v>
      </c>
      <c r="K9" s="20" t="s">
        <v>12</v>
      </c>
    </row>
    <row r="10" spans="1:11" ht="15.6" x14ac:dyDescent="0.3">
      <c r="A10" s="13">
        <v>44690</v>
      </c>
      <c r="B10" s="1" t="s">
        <v>8</v>
      </c>
      <c r="C10" s="3" t="s">
        <v>9</v>
      </c>
      <c r="D10" s="3" t="s">
        <v>24</v>
      </c>
      <c r="E10" s="3" t="s">
        <v>10</v>
      </c>
      <c r="F10" s="4">
        <v>25567</v>
      </c>
      <c r="G10" s="9">
        <v>3.2150747E-2</v>
      </c>
      <c r="H10" s="6">
        <f t="shared" si="0"/>
        <v>821.99814854900001</v>
      </c>
      <c r="I10" s="4">
        <f>1865.4*0.94</f>
        <v>1753.4759999999999</v>
      </c>
      <c r="J10" s="8">
        <f t="shared" si="2"/>
        <v>1441354.0255251063</v>
      </c>
      <c r="K10" s="21" t="s">
        <v>12</v>
      </c>
    </row>
    <row r="11" spans="1:11" ht="15.6" x14ac:dyDescent="0.3">
      <c r="A11" s="13">
        <v>44718</v>
      </c>
      <c r="B11" s="1" t="s">
        <v>8</v>
      </c>
      <c r="C11" s="3" t="s">
        <v>9</v>
      </c>
      <c r="D11" s="3" t="s">
        <v>24</v>
      </c>
      <c r="E11" s="3" t="s">
        <v>10</v>
      </c>
      <c r="F11" s="4">
        <v>26126.61</v>
      </c>
      <c r="G11" s="9">
        <v>3.2150747E-2</v>
      </c>
      <c r="H11" s="6">
        <f t="shared" si="0"/>
        <v>839.99002807766999</v>
      </c>
      <c r="I11" s="4">
        <f>1851.5*0.94</f>
        <v>1740.4099999999999</v>
      </c>
      <c r="J11" s="8">
        <f t="shared" si="2"/>
        <v>1461927.0447666575</v>
      </c>
      <c r="K11" s="20" t="s">
        <v>12</v>
      </c>
    </row>
    <row r="12" spans="1:11" ht="15.6" x14ac:dyDescent="0.3">
      <c r="A12" s="13">
        <v>44739</v>
      </c>
      <c r="B12" s="1" t="s">
        <v>8</v>
      </c>
      <c r="C12" s="3" t="s">
        <v>9</v>
      </c>
      <c r="D12" s="3" t="s">
        <v>24</v>
      </c>
      <c r="E12" s="3" t="s">
        <v>10</v>
      </c>
      <c r="F12" s="4">
        <v>25815.65</v>
      </c>
      <c r="G12" s="9">
        <v>3.2150747E-2</v>
      </c>
      <c r="H12" s="6">
        <f t="shared" si="0"/>
        <v>829.99243179055009</v>
      </c>
      <c r="I12" s="4">
        <f>1838.05*0.94</f>
        <v>1727.7669999999998</v>
      </c>
      <c r="J12" s="8">
        <f t="shared" si="2"/>
        <v>1434033.5338974632</v>
      </c>
      <c r="K12" s="20" t="s">
        <v>12</v>
      </c>
    </row>
    <row r="13" spans="1:11" ht="15.6" x14ac:dyDescent="0.3">
      <c r="A13" s="13">
        <v>44767</v>
      </c>
      <c r="B13" s="1" t="s">
        <v>8</v>
      </c>
      <c r="C13" s="3" t="s">
        <v>9</v>
      </c>
      <c r="D13" s="3" t="s">
        <v>24</v>
      </c>
      <c r="E13" s="3" t="s">
        <v>10</v>
      </c>
      <c r="F13" s="4">
        <v>24259.95</v>
      </c>
      <c r="G13" s="9">
        <v>3.2150747E-2</v>
      </c>
      <c r="H13" s="6">
        <f t="shared" si="0"/>
        <v>779.97551468264999</v>
      </c>
      <c r="I13" s="4">
        <f>1731.95*0.94</f>
        <v>1628.0329999999999</v>
      </c>
      <c r="J13" s="8">
        <f t="shared" si="2"/>
        <v>1269825.8770953387</v>
      </c>
      <c r="K13" s="21" t="s">
        <v>12</v>
      </c>
    </row>
    <row r="14" spans="1:11" ht="15.6" x14ac:dyDescent="0.3">
      <c r="A14" s="13">
        <v>44795</v>
      </c>
      <c r="B14" s="1" t="s">
        <v>8</v>
      </c>
      <c r="C14" s="3" t="s">
        <v>9</v>
      </c>
      <c r="D14" s="3" t="s">
        <v>24</v>
      </c>
      <c r="E14" s="3" t="s">
        <v>10</v>
      </c>
      <c r="F14" s="4">
        <v>23948.98</v>
      </c>
      <c r="G14" s="9">
        <v>3.2150747E-2</v>
      </c>
      <c r="H14" s="6">
        <f t="shared" si="0"/>
        <v>769.97759688806002</v>
      </c>
      <c r="I14" s="4">
        <f>0.94*1733.25</f>
        <v>1629.2549999999999</v>
      </c>
      <c r="J14" s="8">
        <f t="shared" si="2"/>
        <v>1254489.8496178561</v>
      </c>
      <c r="K14" s="20" t="s">
        <v>12</v>
      </c>
    </row>
    <row r="15" spans="1:11" ht="15.6" x14ac:dyDescent="0.3">
      <c r="A15" s="13">
        <v>44830</v>
      </c>
      <c r="B15" s="1" t="s">
        <v>8</v>
      </c>
      <c r="C15" s="3" t="s">
        <v>9</v>
      </c>
      <c r="D15" s="3" t="s">
        <v>24</v>
      </c>
      <c r="E15" s="3" t="s">
        <v>10</v>
      </c>
      <c r="F15" s="4">
        <v>25593.040000000001</v>
      </c>
      <c r="G15" s="9">
        <v>3.2150747E-2</v>
      </c>
      <c r="H15" s="6">
        <f t="shared" si="0"/>
        <v>822.83535400087999</v>
      </c>
      <c r="I15" s="4">
        <f>0.94*1647</f>
        <v>1548.1799999999998</v>
      </c>
      <c r="J15" s="8">
        <f t="shared" si="2"/>
        <v>1273897.2383570822</v>
      </c>
      <c r="K15" s="20" t="s">
        <v>12</v>
      </c>
    </row>
    <row r="16" spans="1:11" ht="15.6" x14ac:dyDescent="0.3">
      <c r="A16" s="13">
        <v>44851</v>
      </c>
      <c r="B16" s="1" t="s">
        <v>8</v>
      </c>
      <c r="C16" s="3" t="s">
        <v>9</v>
      </c>
      <c r="D16" s="3" t="s">
        <v>24</v>
      </c>
      <c r="E16" s="3" t="s">
        <v>10</v>
      </c>
      <c r="F16" s="4">
        <v>25595.09</v>
      </c>
      <c r="G16" s="9">
        <v>3.2150747E-2</v>
      </c>
      <c r="H16" s="6">
        <f t="shared" si="0"/>
        <v>822.90126303222996</v>
      </c>
      <c r="I16" s="4">
        <f>1664.75*0.94</f>
        <v>1564.865</v>
      </c>
      <c r="J16" s="8">
        <f t="shared" si="2"/>
        <v>1287729.3849749304</v>
      </c>
      <c r="K16" s="21" t="s">
        <v>12</v>
      </c>
    </row>
    <row r="17" spans="1:11" ht="15.6" x14ac:dyDescent="0.3">
      <c r="A17" s="13">
        <v>44879</v>
      </c>
      <c r="B17" s="1" t="s">
        <v>8</v>
      </c>
      <c r="C17" s="3" t="s">
        <v>9</v>
      </c>
      <c r="D17" s="3" t="s">
        <v>24</v>
      </c>
      <c r="E17" s="3" t="s">
        <v>10</v>
      </c>
      <c r="F17" s="4">
        <v>26531.77</v>
      </c>
      <c r="G17" s="9">
        <v>3.2150747E-2</v>
      </c>
      <c r="H17" s="6">
        <f t="shared" si="0"/>
        <v>853.01622473219004</v>
      </c>
      <c r="I17" s="4">
        <f>1768.9*0.94</f>
        <v>1662.7660000000001</v>
      </c>
      <c r="J17" s="8">
        <f t="shared" si="2"/>
        <v>1418366.3759330448</v>
      </c>
      <c r="K17" s="20" t="s">
        <v>12</v>
      </c>
    </row>
    <row r="18" spans="1:11" ht="15.6" x14ac:dyDescent="0.3">
      <c r="A18" s="13">
        <v>44900</v>
      </c>
      <c r="B18" s="1" t="s">
        <v>8</v>
      </c>
      <c r="C18" s="3" t="s">
        <v>9</v>
      </c>
      <c r="D18" s="3" t="s">
        <v>24</v>
      </c>
      <c r="E18" s="3" t="s">
        <v>10</v>
      </c>
      <c r="F18" s="4">
        <v>25535.119999999999</v>
      </c>
      <c r="G18" s="9">
        <v>3.2150747E-2</v>
      </c>
      <c r="H18" s="6">
        <f t="shared" si="0"/>
        <v>820.97318273463998</v>
      </c>
      <c r="I18" s="4">
        <f>1794.35*0.94</f>
        <v>1686.6889999999999</v>
      </c>
      <c r="J18" s="8">
        <f t="shared" si="2"/>
        <v>1384726.4366135071</v>
      </c>
      <c r="K18" s="20" t="s">
        <v>12</v>
      </c>
    </row>
    <row r="19" spans="1:11" ht="15.6" x14ac:dyDescent="0.3">
      <c r="A19" s="13">
        <v>44925</v>
      </c>
      <c r="B19" s="1" t="s">
        <v>8</v>
      </c>
      <c r="C19" s="3" t="s">
        <v>9</v>
      </c>
      <c r="D19" s="3" t="s">
        <v>24</v>
      </c>
      <c r="E19" s="3" t="s">
        <v>10</v>
      </c>
      <c r="F19" s="4">
        <v>25877.18</v>
      </c>
      <c r="G19" s="9">
        <v>3.2150747E-2</v>
      </c>
      <c r="H19" s="6">
        <f t="shared" si="0"/>
        <v>831.97066725345996</v>
      </c>
      <c r="I19" s="4">
        <f>0.94*1812.35</f>
        <v>1703.6089999999999</v>
      </c>
      <c r="J19" s="8">
        <f t="shared" si="2"/>
        <v>1417352.7164689996</v>
      </c>
      <c r="K19" s="21" t="s">
        <v>12</v>
      </c>
    </row>
    <row r="20" spans="1:11" ht="16.2" thickBot="1" x14ac:dyDescent="0.35">
      <c r="A20" s="69" t="s">
        <v>32</v>
      </c>
      <c r="B20" s="70"/>
      <c r="C20" s="70"/>
      <c r="D20" s="70"/>
      <c r="E20" s="71"/>
      <c r="F20" s="35">
        <f>SUM(F5:F19)</f>
        <v>383272.39</v>
      </c>
      <c r="G20" s="35"/>
      <c r="H20" s="35">
        <f>SUM(H5:H19)</f>
        <v>12322.493642975329</v>
      </c>
      <c r="I20" s="34"/>
      <c r="J20" s="36">
        <f>SUM(J5:J19)</f>
        <v>21042587.976324748</v>
      </c>
      <c r="K20" s="20"/>
    </row>
    <row r="21" spans="1:11" ht="16.2" thickTop="1" x14ac:dyDescent="0.3">
      <c r="A21" s="13">
        <v>44565</v>
      </c>
      <c r="B21" s="1" t="s">
        <v>13</v>
      </c>
      <c r="C21" s="3" t="s">
        <v>14</v>
      </c>
      <c r="D21" s="3" t="s">
        <v>24</v>
      </c>
      <c r="E21" s="3" t="s">
        <v>15</v>
      </c>
      <c r="F21" s="7">
        <v>24883</v>
      </c>
      <c r="G21" s="5">
        <v>3.2150747E-2</v>
      </c>
      <c r="H21" s="6">
        <f>+G21*F21</f>
        <v>800.00703760099998</v>
      </c>
      <c r="I21" s="7">
        <f>1811.4*0.94</f>
        <v>1702.7159999999999</v>
      </c>
      <c r="J21" s="8">
        <f t="shared" si="1"/>
        <v>1362184.7830358243</v>
      </c>
      <c r="K21" s="22" t="s">
        <v>16</v>
      </c>
    </row>
    <row r="22" spans="1:11" ht="15.6" x14ac:dyDescent="0.3">
      <c r="A22" s="13">
        <v>44565</v>
      </c>
      <c r="B22" s="1" t="s">
        <v>13</v>
      </c>
      <c r="C22" s="3" t="s">
        <v>14</v>
      </c>
      <c r="D22" s="3" t="s">
        <v>24</v>
      </c>
      <c r="E22" s="3" t="s">
        <v>15</v>
      </c>
      <c r="F22" s="4">
        <v>24883</v>
      </c>
      <c r="G22" s="9">
        <v>3.2150747E-2</v>
      </c>
      <c r="H22" s="6">
        <f>+G22*F22</f>
        <v>800.00703760099998</v>
      </c>
      <c r="I22" s="4">
        <f>1811.4*0.94</f>
        <v>1702.7159999999999</v>
      </c>
      <c r="J22" s="8">
        <f t="shared" si="1"/>
        <v>1362184.7830358243</v>
      </c>
      <c r="K22" s="22" t="s">
        <v>16</v>
      </c>
    </row>
    <row r="23" spans="1:11" ht="15.6" x14ac:dyDescent="0.3">
      <c r="A23" s="13">
        <v>44572</v>
      </c>
      <c r="B23" s="1" t="s">
        <v>13</v>
      </c>
      <c r="C23" s="3" t="s">
        <v>14</v>
      </c>
      <c r="D23" s="3" t="s">
        <v>24</v>
      </c>
      <c r="E23" s="3" t="s">
        <v>15</v>
      </c>
      <c r="F23" s="4">
        <v>74649</v>
      </c>
      <c r="G23" s="5">
        <v>3.2150747E-2</v>
      </c>
      <c r="H23" s="6">
        <f>+G23*F23</f>
        <v>2400.0211128030001</v>
      </c>
      <c r="I23" s="7">
        <f>1806.8*0.94</f>
        <v>1698.3919999999998</v>
      </c>
      <c r="J23" s="8">
        <f t="shared" si="1"/>
        <v>4076176.6578157125</v>
      </c>
      <c r="K23" s="22" t="s">
        <v>16</v>
      </c>
    </row>
    <row r="24" spans="1:11" ht="15.6" x14ac:dyDescent="0.3">
      <c r="A24" s="13">
        <v>44572</v>
      </c>
      <c r="B24" s="1" t="s">
        <v>13</v>
      </c>
      <c r="C24" s="3" t="s">
        <v>14</v>
      </c>
      <c r="D24" s="3" t="s">
        <v>24</v>
      </c>
      <c r="E24" s="3" t="s">
        <v>15</v>
      </c>
      <c r="F24" s="4">
        <v>24883</v>
      </c>
      <c r="G24" s="9">
        <v>3.2150747E-2</v>
      </c>
      <c r="H24" s="6">
        <f>+G24*F24</f>
        <v>800.00703760099998</v>
      </c>
      <c r="I24" s="4">
        <f>1806.8*0.94</f>
        <v>1698.3919999999998</v>
      </c>
      <c r="J24" s="8">
        <f t="shared" si="1"/>
        <v>1358725.5526052373</v>
      </c>
      <c r="K24" s="23" t="s">
        <v>16</v>
      </c>
    </row>
    <row r="25" spans="1:11" ht="15.6" x14ac:dyDescent="0.3">
      <c r="A25" s="13">
        <v>44579</v>
      </c>
      <c r="B25" s="1" t="s">
        <v>13</v>
      </c>
      <c r="C25" s="3" t="s">
        <v>14</v>
      </c>
      <c r="D25" s="3" t="s">
        <v>24</v>
      </c>
      <c r="E25" s="3" t="s">
        <v>15</v>
      </c>
      <c r="F25" s="4">
        <v>99532</v>
      </c>
      <c r="G25" s="9">
        <v>3.2150747E-2</v>
      </c>
      <c r="H25" s="6">
        <f>+F25*G23</f>
        <v>3200.0281504039999</v>
      </c>
      <c r="I25" s="4">
        <f>1817.25*0.94</f>
        <v>1708.2149999999999</v>
      </c>
      <c r="J25" s="8">
        <f t="shared" si="1"/>
        <v>5466336.0869423682</v>
      </c>
      <c r="K25" s="23" t="s">
        <v>16</v>
      </c>
    </row>
    <row r="26" spans="1:11" ht="15.6" x14ac:dyDescent="0.3">
      <c r="A26" s="13">
        <v>44586</v>
      </c>
      <c r="B26" s="1" t="s">
        <v>13</v>
      </c>
      <c r="C26" s="3" t="s">
        <v>14</v>
      </c>
      <c r="D26" s="3" t="s">
        <v>24</v>
      </c>
      <c r="E26" s="3" t="s">
        <v>15</v>
      </c>
      <c r="F26" s="4">
        <v>74649</v>
      </c>
      <c r="G26" s="9">
        <v>3.2150747E-2</v>
      </c>
      <c r="H26" s="6">
        <f>+F26*G24</f>
        <v>2400.0211128030001</v>
      </c>
      <c r="I26" s="4">
        <f>1847.3*0.94</f>
        <v>1736.4619999999998</v>
      </c>
      <c r="J26" s="8">
        <f t="shared" si="1"/>
        <v>4167545.4615801224</v>
      </c>
      <c r="K26" s="23" t="s">
        <v>16</v>
      </c>
    </row>
    <row r="27" spans="1:11" ht="15.6" x14ac:dyDescent="0.3">
      <c r="A27" s="13">
        <v>44586</v>
      </c>
      <c r="B27" s="1" t="s">
        <v>13</v>
      </c>
      <c r="C27" s="3" t="s">
        <v>14</v>
      </c>
      <c r="D27" s="3" t="s">
        <v>24</v>
      </c>
      <c r="E27" s="3" t="s">
        <v>15</v>
      </c>
      <c r="F27" s="4">
        <v>24883</v>
      </c>
      <c r="G27" s="9">
        <v>3.2150747E-2</v>
      </c>
      <c r="H27" s="6">
        <f>+F27*G25</f>
        <v>800.00703760099998</v>
      </c>
      <c r="I27" s="4">
        <f>1847.3*0.94</f>
        <v>1736.4619999999998</v>
      </c>
      <c r="J27" s="8">
        <f t="shared" si="1"/>
        <v>1389181.8205267075</v>
      </c>
      <c r="K27" s="23" t="s">
        <v>16</v>
      </c>
    </row>
    <row r="28" spans="1:11" ht="15.6" x14ac:dyDescent="0.3">
      <c r="A28" s="13">
        <v>44593</v>
      </c>
      <c r="B28" s="1" t="s">
        <v>13</v>
      </c>
      <c r="C28" s="3" t="s">
        <v>14</v>
      </c>
      <c r="D28" s="3" t="s">
        <v>24</v>
      </c>
      <c r="E28" s="3" t="s">
        <v>15</v>
      </c>
      <c r="F28" s="4">
        <v>74649</v>
      </c>
      <c r="G28" s="9">
        <v>3.2150747E-2</v>
      </c>
      <c r="H28" s="6">
        <f t="shared" ref="H28:H44" si="3">+F28*G28</f>
        <v>2400.0211128030001</v>
      </c>
      <c r="I28" s="4">
        <f>1806.6*0.94</f>
        <v>1698.2039999999997</v>
      </c>
      <c r="J28" s="8">
        <f t="shared" si="1"/>
        <v>4075725.4538465054</v>
      </c>
      <c r="K28" s="23" t="s">
        <v>16</v>
      </c>
    </row>
    <row r="29" spans="1:11" ht="15.6" x14ac:dyDescent="0.3">
      <c r="A29" s="13">
        <v>44593</v>
      </c>
      <c r="B29" s="1" t="s">
        <v>13</v>
      </c>
      <c r="C29" s="3" t="s">
        <v>14</v>
      </c>
      <c r="D29" s="3" t="s">
        <v>24</v>
      </c>
      <c r="E29" s="3" t="s">
        <v>15</v>
      </c>
      <c r="F29" s="4">
        <v>24883</v>
      </c>
      <c r="G29" s="9">
        <v>3.2150747E-2</v>
      </c>
      <c r="H29" s="6">
        <f t="shared" si="3"/>
        <v>800.00703760099998</v>
      </c>
      <c r="I29" s="4">
        <f>1806.6*0.94</f>
        <v>1698.2039999999997</v>
      </c>
      <c r="J29" s="8">
        <f t="shared" si="1"/>
        <v>1358575.1512821685</v>
      </c>
      <c r="K29" s="23" t="s">
        <v>16</v>
      </c>
    </row>
    <row r="30" spans="1:11" ht="15.6" x14ac:dyDescent="0.3">
      <c r="A30" s="13">
        <v>44600</v>
      </c>
      <c r="B30" s="1" t="s">
        <v>13</v>
      </c>
      <c r="C30" s="3" t="s">
        <v>14</v>
      </c>
      <c r="D30" s="3" t="s">
        <v>24</v>
      </c>
      <c r="E30" s="3" t="s">
        <v>15</v>
      </c>
      <c r="F30" s="4">
        <v>99532</v>
      </c>
      <c r="G30" s="9">
        <v>3.2150747E-2</v>
      </c>
      <c r="H30" s="6">
        <f t="shared" si="3"/>
        <v>3200.0281504039999</v>
      </c>
      <c r="I30" s="4">
        <f>1822.6*0.94</f>
        <v>1713.2439999999999</v>
      </c>
      <c r="J30" s="8">
        <f t="shared" si="1"/>
        <v>5482429.0285107503</v>
      </c>
      <c r="K30" s="23" t="s">
        <v>16</v>
      </c>
    </row>
    <row r="31" spans="1:11" ht="15.6" x14ac:dyDescent="0.3">
      <c r="A31" s="13">
        <v>44607</v>
      </c>
      <c r="B31" s="1" t="s">
        <v>13</v>
      </c>
      <c r="C31" s="3" t="s">
        <v>14</v>
      </c>
      <c r="D31" s="3" t="s">
        <v>24</v>
      </c>
      <c r="E31" s="3" t="s">
        <v>15</v>
      </c>
      <c r="F31" s="4">
        <v>99532</v>
      </c>
      <c r="G31" s="9">
        <v>3.2150747E-2</v>
      </c>
      <c r="H31" s="6">
        <f t="shared" si="3"/>
        <v>3200.0281504039999</v>
      </c>
      <c r="I31" s="4">
        <f>1855.1*0.94</f>
        <v>1743.7939999999999</v>
      </c>
      <c r="J31" s="8">
        <f t="shared" si="1"/>
        <v>5580189.888505592</v>
      </c>
      <c r="K31" s="23" t="s">
        <v>16</v>
      </c>
    </row>
    <row r="32" spans="1:11" ht="15.6" x14ac:dyDescent="0.3">
      <c r="A32" s="13">
        <v>44607</v>
      </c>
      <c r="B32" s="1" t="s">
        <v>13</v>
      </c>
      <c r="C32" s="3" t="s">
        <v>14</v>
      </c>
      <c r="D32" s="3" t="s">
        <v>24</v>
      </c>
      <c r="E32" s="3" t="s">
        <v>15</v>
      </c>
      <c r="F32" s="4">
        <v>24883</v>
      </c>
      <c r="G32" s="9">
        <v>3.2150747E-2</v>
      </c>
      <c r="H32" s="6">
        <f t="shared" si="3"/>
        <v>800.00703760099998</v>
      </c>
      <c r="I32" s="4">
        <f>1855.1*0.94</f>
        <v>1743.7939999999999</v>
      </c>
      <c r="J32" s="8">
        <f t="shared" si="1"/>
        <v>1395047.472126398</v>
      </c>
      <c r="K32" s="23" t="s">
        <v>16</v>
      </c>
    </row>
    <row r="33" spans="1:11" ht="15.6" x14ac:dyDescent="0.3">
      <c r="A33" s="13">
        <v>44614</v>
      </c>
      <c r="B33" s="1" t="s">
        <v>13</v>
      </c>
      <c r="C33" s="3" t="s">
        <v>14</v>
      </c>
      <c r="D33" s="3" t="s">
        <v>24</v>
      </c>
      <c r="E33" s="3" t="s">
        <v>15</v>
      </c>
      <c r="F33" s="4">
        <v>24883</v>
      </c>
      <c r="G33" s="9">
        <v>3.2150747E-2</v>
      </c>
      <c r="H33" s="6">
        <f t="shared" si="3"/>
        <v>800.00703760099998</v>
      </c>
      <c r="I33" s="4">
        <f>1899.15*0.94</f>
        <v>1785.201</v>
      </c>
      <c r="J33" s="8">
        <f t="shared" si="1"/>
        <v>1428173.3635323427</v>
      </c>
      <c r="K33" s="23" t="s">
        <v>16</v>
      </c>
    </row>
    <row r="34" spans="1:11" ht="15.6" x14ac:dyDescent="0.3">
      <c r="A34" s="13">
        <v>44614</v>
      </c>
      <c r="B34" s="1" t="s">
        <v>13</v>
      </c>
      <c r="C34" s="3" t="s">
        <v>14</v>
      </c>
      <c r="D34" s="3" t="s">
        <v>24</v>
      </c>
      <c r="E34" s="3" t="s">
        <v>15</v>
      </c>
      <c r="F34" s="4">
        <v>99532</v>
      </c>
      <c r="G34" s="9">
        <v>3.2150747E-2</v>
      </c>
      <c r="H34" s="6">
        <f t="shared" si="3"/>
        <v>3200.0281504039999</v>
      </c>
      <c r="I34" s="4">
        <f>1899.15*0.94</f>
        <v>1785.201</v>
      </c>
      <c r="J34" s="8">
        <f t="shared" si="1"/>
        <v>5712693.4541293709</v>
      </c>
      <c r="K34" s="23" t="s">
        <v>16</v>
      </c>
    </row>
    <row r="35" spans="1:11" ht="15.6" x14ac:dyDescent="0.3">
      <c r="A35" s="13">
        <v>44628</v>
      </c>
      <c r="B35" s="1" t="s">
        <v>13</v>
      </c>
      <c r="C35" s="3" t="s">
        <v>14</v>
      </c>
      <c r="D35" s="3" t="s">
        <v>24</v>
      </c>
      <c r="E35" s="3" t="s">
        <v>15</v>
      </c>
      <c r="F35" s="4">
        <v>124414</v>
      </c>
      <c r="G35" s="9">
        <v>3.2150747E-2</v>
      </c>
      <c r="H35" s="6">
        <f t="shared" si="3"/>
        <v>4000.0030372579999</v>
      </c>
      <c r="I35" s="4">
        <f>2039.05*0.94</f>
        <v>1916.7069999999999</v>
      </c>
      <c r="J35" s="8">
        <f t="shared" si="1"/>
        <v>7666833.8215336688</v>
      </c>
      <c r="K35" s="23" t="s">
        <v>16</v>
      </c>
    </row>
    <row r="36" spans="1:11" ht="15.6" x14ac:dyDescent="0.3">
      <c r="A36" s="13">
        <v>44635</v>
      </c>
      <c r="B36" s="1" t="s">
        <v>13</v>
      </c>
      <c r="C36" s="3" t="s">
        <v>14</v>
      </c>
      <c r="D36" s="3" t="s">
        <v>24</v>
      </c>
      <c r="E36" s="3" t="s">
        <v>15</v>
      </c>
      <c r="F36" s="4">
        <v>124414</v>
      </c>
      <c r="G36" s="9">
        <v>3.2150747E-2</v>
      </c>
      <c r="H36" s="6">
        <f t="shared" si="3"/>
        <v>4000.0030372579999</v>
      </c>
      <c r="I36" s="4">
        <f>1928.75*0.94</f>
        <v>1813.0249999999999</v>
      </c>
      <c r="J36" s="8">
        <f t="shared" si="1"/>
        <v>7252105.5066246847</v>
      </c>
      <c r="K36" s="23" t="s">
        <v>16</v>
      </c>
    </row>
    <row r="37" spans="1:11" ht="15.6" x14ac:dyDescent="0.3">
      <c r="A37" s="13">
        <v>44642</v>
      </c>
      <c r="B37" s="1" t="s">
        <v>13</v>
      </c>
      <c r="C37" s="3" t="s">
        <v>14</v>
      </c>
      <c r="D37" s="3" t="s">
        <v>24</v>
      </c>
      <c r="E37" s="3" t="s">
        <v>15</v>
      </c>
      <c r="F37" s="4">
        <v>124414</v>
      </c>
      <c r="G37" s="9">
        <v>3.2150747E-2</v>
      </c>
      <c r="H37" s="6">
        <f t="shared" si="3"/>
        <v>4000.0030372579999</v>
      </c>
      <c r="I37" s="4">
        <f>1929.35*0.94</f>
        <v>1813.5889999999997</v>
      </c>
      <c r="J37" s="8">
        <f t="shared" si="1"/>
        <v>7254361.5083376979</v>
      </c>
      <c r="K37" s="23" t="s">
        <v>16</v>
      </c>
    </row>
    <row r="38" spans="1:11" ht="15.6" x14ac:dyDescent="0.3">
      <c r="A38" s="13">
        <v>44649</v>
      </c>
      <c r="B38" s="1" t="s">
        <v>13</v>
      </c>
      <c r="C38" s="3" t="s">
        <v>14</v>
      </c>
      <c r="D38" s="3" t="s">
        <v>24</v>
      </c>
      <c r="E38" s="3" t="s">
        <v>15</v>
      </c>
      <c r="F38" s="4">
        <v>99532</v>
      </c>
      <c r="G38" s="9">
        <v>3.2150747E-2</v>
      </c>
      <c r="H38" s="6">
        <f t="shared" si="3"/>
        <v>3200.0281504039999</v>
      </c>
      <c r="I38" s="4">
        <f>1911.05*0.94</f>
        <v>1796.3869999999999</v>
      </c>
      <c r="J38" s="8">
        <f t="shared" si="1"/>
        <v>5748488.9690197902</v>
      </c>
      <c r="K38" s="23" t="s">
        <v>16</v>
      </c>
    </row>
    <row r="39" spans="1:11" ht="15.6" x14ac:dyDescent="0.3">
      <c r="A39" s="13">
        <v>44656</v>
      </c>
      <c r="B39" s="1" t="s">
        <v>13</v>
      </c>
      <c r="C39" s="3" t="s">
        <v>14</v>
      </c>
      <c r="D39" s="3" t="s">
        <v>24</v>
      </c>
      <c r="E39" s="3" t="s">
        <v>15</v>
      </c>
      <c r="F39" s="4">
        <v>124414</v>
      </c>
      <c r="G39" s="9">
        <v>3.2150747E-2</v>
      </c>
      <c r="H39" s="6">
        <f t="shared" si="3"/>
        <v>4000.0030372579999</v>
      </c>
      <c r="I39" s="4">
        <f>1944.05*0.94</f>
        <v>1827.4069999999999</v>
      </c>
      <c r="J39" s="8">
        <f t="shared" si="1"/>
        <v>7309633.5503065297</v>
      </c>
      <c r="K39" s="23" t="s">
        <v>16</v>
      </c>
    </row>
    <row r="40" spans="1:11" ht="15.6" x14ac:dyDescent="0.3">
      <c r="A40" s="13">
        <v>44663</v>
      </c>
      <c r="B40" s="1" t="s">
        <v>13</v>
      </c>
      <c r="C40" s="3" t="s">
        <v>14</v>
      </c>
      <c r="D40" s="3" t="s">
        <v>24</v>
      </c>
      <c r="E40" s="3" t="s">
        <v>15</v>
      </c>
      <c r="F40" s="4">
        <v>99532</v>
      </c>
      <c r="G40" s="9">
        <v>3.2150747E-2</v>
      </c>
      <c r="H40" s="6">
        <f t="shared" si="3"/>
        <v>3200.0281504039999</v>
      </c>
      <c r="I40" s="4">
        <f>1960.85*0.94</f>
        <v>1843.1989999999998</v>
      </c>
      <c r="J40" s="8">
        <f t="shared" si="1"/>
        <v>5898288.6867965013</v>
      </c>
      <c r="K40" s="23" t="s">
        <v>16</v>
      </c>
    </row>
    <row r="41" spans="1:11" ht="15.6" x14ac:dyDescent="0.3">
      <c r="A41" s="13">
        <v>44663</v>
      </c>
      <c r="B41" s="1" t="s">
        <v>13</v>
      </c>
      <c r="C41" s="3" t="s">
        <v>14</v>
      </c>
      <c r="D41" s="3" t="s">
        <v>24</v>
      </c>
      <c r="E41" s="3" t="s">
        <v>15</v>
      </c>
      <c r="F41" s="4">
        <v>24883</v>
      </c>
      <c r="G41" s="9">
        <v>3.2150747E-2</v>
      </c>
      <c r="H41" s="6">
        <f t="shared" si="3"/>
        <v>800.00703760099998</v>
      </c>
      <c r="I41" s="4">
        <f>1960.85*0.94</f>
        <v>1843.1989999999998</v>
      </c>
      <c r="J41" s="8">
        <f t="shared" si="1"/>
        <v>1474572.1716991253</v>
      </c>
      <c r="K41" s="23" t="s">
        <v>16</v>
      </c>
    </row>
    <row r="42" spans="1:11" ht="15.6" x14ac:dyDescent="0.3">
      <c r="A42" s="13">
        <v>44670</v>
      </c>
      <c r="B42" s="1" t="s">
        <v>13</v>
      </c>
      <c r="C42" s="3" t="s">
        <v>14</v>
      </c>
      <c r="D42" s="3" t="s">
        <v>24</v>
      </c>
      <c r="E42" s="3" t="s">
        <v>15</v>
      </c>
      <c r="F42" s="4">
        <v>99532</v>
      </c>
      <c r="G42" s="9">
        <v>3.2150747E-2</v>
      </c>
      <c r="H42" s="6">
        <f t="shared" si="3"/>
        <v>3200.0281504039999</v>
      </c>
      <c r="I42" s="4">
        <f>1975.95*0.94</f>
        <v>1857.393</v>
      </c>
      <c r="J42" s="8">
        <f t="shared" si="1"/>
        <v>5943709.8863633368</v>
      </c>
      <c r="K42" s="23" t="s">
        <v>16</v>
      </c>
    </row>
    <row r="43" spans="1:11" ht="15.6" x14ac:dyDescent="0.3">
      <c r="A43" s="13">
        <v>44673</v>
      </c>
      <c r="B43" s="1" t="s">
        <v>13</v>
      </c>
      <c r="C43" s="3" t="s">
        <v>14</v>
      </c>
      <c r="D43" s="3" t="s">
        <v>24</v>
      </c>
      <c r="E43" s="3" t="s">
        <v>15</v>
      </c>
      <c r="F43" s="4">
        <v>31104</v>
      </c>
      <c r="G43" s="9">
        <v>3.2150747E-2</v>
      </c>
      <c r="H43" s="6">
        <f t="shared" si="3"/>
        <v>1000.016834688</v>
      </c>
      <c r="I43" s="4">
        <f>1942*0.94</f>
        <v>1825.4799999999998</v>
      </c>
      <c r="J43" s="8">
        <f t="shared" si="1"/>
        <v>1825510.7313862501</v>
      </c>
      <c r="K43" s="23" t="s">
        <v>31</v>
      </c>
    </row>
    <row r="44" spans="1:11" ht="15.6" x14ac:dyDescent="0.3">
      <c r="A44" s="13">
        <v>44677</v>
      </c>
      <c r="B44" s="1" t="s">
        <v>13</v>
      </c>
      <c r="C44" s="3" t="s">
        <v>14</v>
      </c>
      <c r="D44" s="3" t="s">
        <v>24</v>
      </c>
      <c r="E44" s="3" t="s">
        <v>15</v>
      </c>
      <c r="F44" s="4">
        <v>74649</v>
      </c>
      <c r="G44" s="9">
        <v>3.2150747E-2</v>
      </c>
      <c r="H44" s="6">
        <f t="shared" si="3"/>
        <v>2400.0211128030001</v>
      </c>
      <c r="I44" s="4">
        <f>1904.6*0.94</f>
        <v>1790.3239999999998</v>
      </c>
      <c r="J44" s="8">
        <f t="shared" si="1"/>
        <v>4296815.3987579178</v>
      </c>
      <c r="K44" s="23" t="s">
        <v>16</v>
      </c>
    </row>
    <row r="45" spans="1:11" ht="15.6" x14ac:dyDescent="0.3">
      <c r="A45" s="13">
        <v>44684</v>
      </c>
      <c r="B45" s="1" t="s">
        <v>13</v>
      </c>
      <c r="C45" s="3" t="s">
        <v>14</v>
      </c>
      <c r="D45" s="3" t="s">
        <v>24</v>
      </c>
      <c r="E45" s="3" t="s">
        <v>15</v>
      </c>
      <c r="F45" s="4">
        <v>74649</v>
      </c>
      <c r="G45" s="9">
        <v>3.2150747E-2</v>
      </c>
      <c r="H45" s="6">
        <f>F45*G45</f>
        <v>2400.0211128030001</v>
      </c>
      <c r="I45" s="4">
        <f>1869.7*0.94</f>
        <v>1757.518</v>
      </c>
      <c r="J45" s="8">
        <f t="shared" si="1"/>
        <v>4218080.3061313033</v>
      </c>
      <c r="K45" s="23" t="s">
        <v>16</v>
      </c>
    </row>
    <row r="46" spans="1:11" ht="15.6" x14ac:dyDescent="0.3">
      <c r="A46" s="13">
        <v>44691</v>
      </c>
      <c r="B46" s="1" t="s">
        <v>13</v>
      </c>
      <c r="C46" s="3" t="s">
        <v>14</v>
      </c>
      <c r="D46" s="3" t="s">
        <v>24</v>
      </c>
      <c r="E46" s="3" t="s">
        <v>15</v>
      </c>
      <c r="F46" s="4">
        <v>24882.799999999999</v>
      </c>
      <c r="G46" s="9">
        <v>3.2150747E-2</v>
      </c>
      <c r="H46" s="6">
        <f>F46*G46</f>
        <v>800.00060745159999</v>
      </c>
      <c r="I46" s="4">
        <f>1862.25*0.94</f>
        <v>1750.5149999999999</v>
      </c>
      <c r="J46" s="8">
        <f t="shared" si="1"/>
        <v>1400413.0633531373</v>
      </c>
      <c r="K46" s="23" t="s">
        <v>16</v>
      </c>
    </row>
    <row r="47" spans="1:11" ht="15.6" x14ac:dyDescent="0.3">
      <c r="A47" s="13">
        <v>44691</v>
      </c>
      <c r="B47" s="1" t="s">
        <v>13</v>
      </c>
      <c r="C47" s="3" t="s">
        <v>14</v>
      </c>
      <c r="D47" s="3" t="s">
        <v>24</v>
      </c>
      <c r="E47" s="3" t="s">
        <v>15</v>
      </c>
      <c r="F47" s="4">
        <v>99531.8</v>
      </c>
      <c r="G47" s="9">
        <v>3.2150747E-2</v>
      </c>
      <c r="H47" s="6">
        <f>F47*G47</f>
        <v>3200.0217202546</v>
      </c>
      <c r="I47" s="4">
        <f>1862.25*0.94</f>
        <v>1750.5149999999999</v>
      </c>
      <c r="J47" s="8">
        <f t="shared" si="1"/>
        <v>5601686.0216314811</v>
      </c>
      <c r="K47" s="23" t="s">
        <v>16</v>
      </c>
    </row>
    <row r="48" spans="1:11" ht="15.6" x14ac:dyDescent="0.3">
      <c r="A48" s="13">
        <v>44701</v>
      </c>
      <c r="B48" s="1" t="s">
        <v>13</v>
      </c>
      <c r="C48" s="3" t="s">
        <v>14</v>
      </c>
      <c r="D48" s="3" t="s">
        <v>24</v>
      </c>
      <c r="E48" s="3" t="s">
        <v>15</v>
      </c>
      <c r="F48" s="4">
        <v>24883</v>
      </c>
      <c r="G48" s="9">
        <v>3.2150747E-2</v>
      </c>
      <c r="H48" s="6">
        <f>F48*G48</f>
        <v>800.00703760099998</v>
      </c>
      <c r="I48" s="4">
        <f>1846.3*0.94</f>
        <v>1735.5219999999999</v>
      </c>
      <c r="J48" s="8">
        <f t="shared" si="1"/>
        <v>1388429.8139113626</v>
      </c>
      <c r="K48" s="23" t="s">
        <v>16</v>
      </c>
    </row>
    <row r="49" spans="1:11" ht="15.6" x14ac:dyDescent="0.3">
      <c r="A49" s="13">
        <v>44701</v>
      </c>
      <c r="B49" s="1" t="s">
        <v>13</v>
      </c>
      <c r="C49" s="3" t="s">
        <v>14</v>
      </c>
      <c r="D49" s="3" t="s">
        <v>24</v>
      </c>
      <c r="E49" s="3" t="s">
        <v>15</v>
      </c>
      <c r="F49" s="4">
        <v>99532.1</v>
      </c>
      <c r="G49" s="9">
        <v>3.2150747E-2</v>
      </c>
      <c r="H49" s="6">
        <f>F49*G49</f>
        <v>3200.0313654787001</v>
      </c>
      <c r="I49" s="4">
        <f>1846.3*0.94</f>
        <v>1735.5219999999999</v>
      </c>
      <c r="J49" s="8">
        <f t="shared" si="1"/>
        <v>5553724.8354783244</v>
      </c>
      <c r="K49" s="23" t="s">
        <v>16</v>
      </c>
    </row>
    <row r="50" spans="1:11" ht="15.6" x14ac:dyDescent="0.3">
      <c r="A50" s="13">
        <v>44706</v>
      </c>
      <c r="B50" s="1" t="s">
        <v>13</v>
      </c>
      <c r="C50" s="3" t="s">
        <v>14</v>
      </c>
      <c r="D50" s="3" t="s">
        <v>24</v>
      </c>
      <c r="E50" s="3" t="s">
        <v>15</v>
      </c>
      <c r="F50" s="4">
        <v>74649.100000000006</v>
      </c>
      <c r="G50" s="9">
        <v>3.2150747E-2</v>
      </c>
      <c r="H50" s="6">
        <f>+F50*G50</f>
        <v>2400.0243278777002</v>
      </c>
      <c r="I50" s="4">
        <f>1857.25*0.94</f>
        <v>1745.8149999999998</v>
      </c>
      <c r="J50" s="8">
        <f t="shared" si="1"/>
        <v>4189998.4719738066</v>
      </c>
      <c r="K50" s="23" t="s">
        <v>16</v>
      </c>
    </row>
    <row r="51" spans="1:11" ht="15.6" x14ac:dyDescent="0.3">
      <c r="A51" s="13">
        <v>44712</v>
      </c>
      <c r="B51" s="1" t="s">
        <v>13</v>
      </c>
      <c r="C51" s="3" t="s">
        <v>14</v>
      </c>
      <c r="D51" s="3" t="s">
        <v>24</v>
      </c>
      <c r="E51" s="3" t="s">
        <v>15</v>
      </c>
      <c r="F51" s="4">
        <v>24883</v>
      </c>
      <c r="G51" s="9">
        <v>3.2150747E-2</v>
      </c>
      <c r="H51" s="6">
        <f>+F51*G51</f>
        <v>800.00703760099998</v>
      </c>
      <c r="I51" s="4">
        <f>1854.4*0.94</f>
        <v>1743.136</v>
      </c>
      <c r="J51" s="8">
        <f t="shared" si="1"/>
        <v>1394521.0674956567</v>
      </c>
      <c r="K51" s="23" t="s">
        <v>16</v>
      </c>
    </row>
    <row r="52" spans="1:11" ht="15.6" x14ac:dyDescent="0.3">
      <c r="A52" s="13">
        <v>44712</v>
      </c>
      <c r="B52" s="1" t="s">
        <v>13</v>
      </c>
      <c r="C52" s="3" t="s">
        <v>14</v>
      </c>
      <c r="D52" s="3" t="s">
        <v>24</v>
      </c>
      <c r="E52" s="3" t="s">
        <v>15</v>
      </c>
      <c r="F52" s="4">
        <v>24883</v>
      </c>
      <c r="G52" s="9">
        <v>3.2150747E-2</v>
      </c>
      <c r="H52" s="6">
        <f>+F52*G52</f>
        <v>800.00703760099998</v>
      </c>
      <c r="I52" s="4">
        <f>1854.4*0.94</f>
        <v>1743.136</v>
      </c>
      <c r="J52" s="8">
        <f t="shared" si="1"/>
        <v>1394521.0674956567</v>
      </c>
      <c r="K52" s="23" t="s">
        <v>16</v>
      </c>
    </row>
    <row r="53" spans="1:11" ht="15.6" x14ac:dyDescent="0.3">
      <c r="A53" s="13">
        <v>44715</v>
      </c>
      <c r="B53" s="1" t="s">
        <v>13</v>
      </c>
      <c r="C53" s="3" t="s">
        <v>14</v>
      </c>
      <c r="D53" s="3" t="s">
        <v>24</v>
      </c>
      <c r="E53" s="3" t="s">
        <v>15</v>
      </c>
      <c r="F53" s="4">
        <v>74648.899999999994</v>
      </c>
      <c r="G53" s="9">
        <v>3.2150747E-2</v>
      </c>
      <c r="H53" s="6">
        <f t="shared" ref="H53:H70" si="4">F53*G53</f>
        <v>2400.0178977282999</v>
      </c>
      <c r="I53" s="4">
        <f>1844.9*0.94</f>
        <v>1734.2059999999999</v>
      </c>
      <c r="J53" s="8">
        <f>H53*I53</f>
        <v>4162125.4383478039</v>
      </c>
      <c r="K53" s="23" t="s">
        <v>16</v>
      </c>
    </row>
    <row r="54" spans="1:11" ht="15.6" x14ac:dyDescent="0.3">
      <c r="A54" s="13">
        <v>44722</v>
      </c>
      <c r="B54" s="1" t="s">
        <v>13</v>
      </c>
      <c r="C54" s="3" t="s">
        <v>14</v>
      </c>
      <c r="D54" s="3" t="s">
        <v>24</v>
      </c>
      <c r="E54" s="3" t="s">
        <v>15</v>
      </c>
      <c r="F54" s="4">
        <v>99531.4</v>
      </c>
      <c r="G54" s="9">
        <v>3.2150747E-2</v>
      </c>
      <c r="H54" s="6">
        <f t="shared" si="4"/>
        <v>3200.0088599557998</v>
      </c>
      <c r="I54" s="4">
        <f>1843.35*0.94</f>
        <v>1732.7489999999998</v>
      </c>
      <c r="J54" s="8">
        <f>H54*I54</f>
        <v>5544812.1520795515</v>
      </c>
      <c r="K54" s="23" t="s">
        <v>16</v>
      </c>
    </row>
    <row r="55" spans="1:11" ht="15.6" x14ac:dyDescent="0.3">
      <c r="A55" s="13">
        <v>44729</v>
      </c>
      <c r="B55" s="1" t="s">
        <v>13</v>
      </c>
      <c r="C55" s="3" t="s">
        <v>14</v>
      </c>
      <c r="D55" s="3" t="s">
        <v>24</v>
      </c>
      <c r="E55" s="3" t="s">
        <v>15</v>
      </c>
      <c r="F55" s="4">
        <v>124414.39999999999</v>
      </c>
      <c r="G55" s="9">
        <v>3.2150747E-2</v>
      </c>
      <c r="H55" s="6">
        <f t="shared" si="4"/>
        <v>4000.0158975567997</v>
      </c>
      <c r="I55" s="4">
        <f>1849.85*0.94</f>
        <v>1738.8589999999999</v>
      </c>
      <c r="J55" s="8">
        <f>H55*I55</f>
        <v>6955463.6436097184</v>
      </c>
      <c r="K55" s="23" t="s">
        <v>16</v>
      </c>
    </row>
    <row r="56" spans="1:11" ht="15.6" x14ac:dyDescent="0.3">
      <c r="A56" s="13">
        <v>44736</v>
      </c>
      <c r="B56" s="1" t="s">
        <v>13</v>
      </c>
      <c r="C56" s="3" t="s">
        <v>14</v>
      </c>
      <c r="D56" s="3" t="s">
        <v>24</v>
      </c>
      <c r="E56" s="3" t="s">
        <v>15</v>
      </c>
      <c r="F56" s="4">
        <v>124414.3</v>
      </c>
      <c r="G56" s="9">
        <v>3.2150747E-2</v>
      </c>
      <c r="H56" s="6">
        <f t="shared" si="4"/>
        <v>4000.0126824821</v>
      </c>
      <c r="I56" s="4">
        <f>1826.5*0.94</f>
        <v>1716.9099999999999</v>
      </c>
      <c r="J56" s="8">
        <f>H56*I56</f>
        <v>6867661.7746803416</v>
      </c>
      <c r="K56" s="23" t="s">
        <v>16</v>
      </c>
    </row>
    <row r="57" spans="1:11" ht="15.6" x14ac:dyDescent="0.3">
      <c r="A57" s="13">
        <v>44743</v>
      </c>
      <c r="B57" s="1" t="s">
        <v>13</v>
      </c>
      <c r="C57" s="3" t="s">
        <v>14</v>
      </c>
      <c r="D57" s="3" t="s">
        <v>24</v>
      </c>
      <c r="E57" s="3" t="s">
        <v>15</v>
      </c>
      <c r="F57" s="4">
        <v>99533.3</v>
      </c>
      <c r="G57" s="9">
        <v>3.2150747E-2</v>
      </c>
      <c r="H57" s="6">
        <f t="shared" si="4"/>
        <v>3200.0699463751002</v>
      </c>
      <c r="I57" s="4">
        <f>1797.45*0.94</f>
        <v>1689.6029999999998</v>
      </c>
      <c r="J57" s="8">
        <f t="shared" ref="J57:J65" si="5">+H57*I57</f>
        <v>5406847.7816052083</v>
      </c>
      <c r="K57" s="23" t="s">
        <v>16</v>
      </c>
    </row>
    <row r="58" spans="1:11" ht="15.6" x14ac:dyDescent="0.3">
      <c r="A58" s="13">
        <v>44750</v>
      </c>
      <c r="B58" s="1" t="s">
        <v>13</v>
      </c>
      <c r="C58" s="3" t="s">
        <v>14</v>
      </c>
      <c r="D58" s="3" t="s">
        <v>24</v>
      </c>
      <c r="E58" s="3" t="s">
        <v>15</v>
      </c>
      <c r="F58" s="4">
        <v>74649.5</v>
      </c>
      <c r="G58" s="9">
        <v>3.2150747E-2</v>
      </c>
      <c r="H58" s="6">
        <f t="shared" si="4"/>
        <v>2400.0371881765</v>
      </c>
      <c r="I58" s="4">
        <f>1738.2*0.94</f>
        <v>1633.9079999999999</v>
      </c>
      <c r="J58" s="8">
        <f t="shared" si="5"/>
        <v>3921439.9620590885</v>
      </c>
      <c r="K58" s="23" t="s">
        <v>16</v>
      </c>
    </row>
    <row r="59" spans="1:11" ht="15.6" x14ac:dyDescent="0.3">
      <c r="A59" s="13">
        <v>44764</v>
      </c>
      <c r="B59" s="1" t="s">
        <v>13</v>
      </c>
      <c r="C59" s="3" t="s">
        <v>14</v>
      </c>
      <c r="D59" s="3" t="s">
        <v>24</v>
      </c>
      <c r="E59" s="3" t="s">
        <v>15</v>
      </c>
      <c r="F59" s="4">
        <v>74649.399999999994</v>
      </c>
      <c r="G59" s="9">
        <v>3.2150747E-2</v>
      </c>
      <c r="H59" s="6">
        <f t="shared" si="4"/>
        <v>2400.0339731017998</v>
      </c>
      <c r="I59" s="4">
        <f>1736.95*0.94</f>
        <v>1632.7329999999999</v>
      </c>
      <c r="J59" s="8">
        <f t="shared" si="5"/>
        <v>3918614.6690044207</v>
      </c>
      <c r="K59" s="23" t="s">
        <v>16</v>
      </c>
    </row>
    <row r="60" spans="1:11" ht="15.6" x14ac:dyDescent="0.3">
      <c r="A60" s="13">
        <v>44757</v>
      </c>
      <c r="B60" s="1" t="s">
        <v>13</v>
      </c>
      <c r="C60" s="3" t="s">
        <v>14</v>
      </c>
      <c r="D60" s="3" t="s">
        <v>24</v>
      </c>
      <c r="E60" s="3" t="s">
        <v>15</v>
      </c>
      <c r="F60" s="4">
        <v>74649.5</v>
      </c>
      <c r="G60" s="9">
        <v>3.2150747E-2</v>
      </c>
      <c r="H60" s="6">
        <f t="shared" si="4"/>
        <v>2400.0371881765</v>
      </c>
      <c r="I60" s="4">
        <f>1706.15*0.94</f>
        <v>1603.7809999999999</v>
      </c>
      <c r="J60" s="8">
        <f t="shared" si="5"/>
        <v>3849134.0416908953</v>
      </c>
      <c r="K60" s="23" t="s">
        <v>16</v>
      </c>
    </row>
    <row r="61" spans="1:11" ht="15.6" x14ac:dyDescent="0.3">
      <c r="A61" s="13">
        <v>44771</v>
      </c>
      <c r="B61" s="1" t="s">
        <v>13</v>
      </c>
      <c r="C61" s="3" t="s">
        <v>14</v>
      </c>
      <c r="D61" s="3" t="s">
        <v>24</v>
      </c>
      <c r="E61" s="3" t="s">
        <v>15</v>
      </c>
      <c r="F61" s="4">
        <v>99532.5</v>
      </c>
      <c r="G61" s="9">
        <v>3.2150747E-2</v>
      </c>
      <c r="H61" s="6">
        <f t="shared" si="4"/>
        <v>3200.0442257774998</v>
      </c>
      <c r="I61" s="4">
        <f>1758.9*0.94</f>
        <v>1653.366</v>
      </c>
      <c r="J61" s="8">
        <f t="shared" si="5"/>
        <v>5290844.3213968417</v>
      </c>
      <c r="K61" s="23" t="s">
        <v>16</v>
      </c>
    </row>
    <row r="62" spans="1:11" ht="15.6" x14ac:dyDescent="0.3">
      <c r="A62" s="13">
        <v>44778</v>
      </c>
      <c r="B62" s="1" t="s">
        <v>13</v>
      </c>
      <c r="C62" s="3" t="s">
        <v>14</v>
      </c>
      <c r="D62" s="3" t="s">
        <v>24</v>
      </c>
      <c r="E62" s="3" t="s">
        <v>15</v>
      </c>
      <c r="F62" s="4">
        <v>99532.800000000003</v>
      </c>
      <c r="G62" s="9">
        <v>3.2150747E-2</v>
      </c>
      <c r="H62" s="6">
        <f t="shared" si="4"/>
        <v>3200.0538710016003</v>
      </c>
      <c r="I62" s="4">
        <f>1786.75*0.94</f>
        <v>1679.5449999999998</v>
      </c>
      <c r="J62" s="8">
        <f t="shared" si="5"/>
        <v>5374634.478771382</v>
      </c>
      <c r="K62" s="23" t="s">
        <v>16</v>
      </c>
    </row>
    <row r="63" spans="1:11" ht="15.6" x14ac:dyDescent="0.3">
      <c r="A63" s="13">
        <v>44785</v>
      </c>
      <c r="B63" s="1" t="s">
        <v>13</v>
      </c>
      <c r="C63" s="3" t="s">
        <v>14</v>
      </c>
      <c r="D63" s="3" t="s">
        <v>24</v>
      </c>
      <c r="E63" s="3" t="s">
        <v>15</v>
      </c>
      <c r="F63" s="4">
        <v>99532.1</v>
      </c>
      <c r="G63" s="9">
        <v>3.2150747E-2</v>
      </c>
      <c r="H63" s="6">
        <f t="shared" si="4"/>
        <v>3200.0313654787001</v>
      </c>
      <c r="I63" s="4">
        <f>1792.1*0.94</f>
        <v>1684.5739999999998</v>
      </c>
      <c r="J63" s="8">
        <f t="shared" si="5"/>
        <v>5390689.6374699147</v>
      </c>
      <c r="K63" s="23" t="s">
        <v>16</v>
      </c>
    </row>
    <row r="64" spans="1:11" ht="15.6" x14ac:dyDescent="0.3">
      <c r="A64" s="13">
        <v>44792</v>
      </c>
      <c r="B64" s="1" t="s">
        <v>13</v>
      </c>
      <c r="C64" s="3" t="s">
        <v>14</v>
      </c>
      <c r="D64" s="3" t="s">
        <v>24</v>
      </c>
      <c r="E64" s="3" t="s">
        <v>15</v>
      </c>
      <c r="F64" s="4">
        <v>74648.899999999994</v>
      </c>
      <c r="G64" s="9">
        <v>3.2150747E-2</v>
      </c>
      <c r="H64" s="6">
        <f t="shared" si="4"/>
        <v>2400.0178977282999</v>
      </c>
      <c r="I64" s="4">
        <f>1752.9*0.94</f>
        <v>1647.7259999999999</v>
      </c>
      <c r="J64" s="8">
        <f t="shared" si="5"/>
        <v>3954571.8905522604</v>
      </c>
      <c r="K64" s="23" t="s">
        <v>16</v>
      </c>
    </row>
    <row r="65" spans="1:11" ht="15.6" x14ac:dyDescent="0.3">
      <c r="A65" s="13">
        <v>44799</v>
      </c>
      <c r="B65" s="1" t="s">
        <v>13</v>
      </c>
      <c r="C65" s="3" t="s">
        <v>14</v>
      </c>
      <c r="D65" s="3" t="s">
        <v>24</v>
      </c>
      <c r="E65" s="3" t="s">
        <v>15</v>
      </c>
      <c r="F65" s="4">
        <v>99532.1</v>
      </c>
      <c r="G65" s="9">
        <v>3.2150747E-2</v>
      </c>
      <c r="H65" s="6">
        <f t="shared" si="4"/>
        <v>3200.0313654787001</v>
      </c>
      <c r="I65" s="4">
        <f>0.94*1752.1</f>
        <v>1646.9739999999999</v>
      </c>
      <c r="J65" s="8">
        <f t="shared" si="5"/>
        <v>5270368.4581279168</v>
      </c>
      <c r="K65" s="23" t="s">
        <v>16</v>
      </c>
    </row>
    <row r="66" spans="1:11" ht="15.6" x14ac:dyDescent="0.3">
      <c r="A66" s="13">
        <v>44806</v>
      </c>
      <c r="B66" s="1" t="s">
        <v>13</v>
      </c>
      <c r="C66" s="3" t="s">
        <v>14</v>
      </c>
      <c r="D66" s="3" t="s">
        <v>24</v>
      </c>
      <c r="E66" s="3" t="s">
        <v>15</v>
      </c>
      <c r="F66" s="4">
        <v>74649.3</v>
      </c>
      <c r="G66" s="9">
        <v>3.2150747E-2</v>
      </c>
      <c r="H66" s="6">
        <f t="shared" si="4"/>
        <v>2400.0307580271001</v>
      </c>
      <c r="I66" s="4">
        <f>1712.5*0.94</f>
        <v>1609.75</v>
      </c>
      <c r="J66" s="8">
        <f>I66*H66</f>
        <v>3863449.5127341244</v>
      </c>
      <c r="K66" s="23" t="s">
        <v>16</v>
      </c>
    </row>
    <row r="67" spans="1:11" ht="15.6" x14ac:dyDescent="0.3">
      <c r="A67" s="13">
        <v>44813</v>
      </c>
      <c r="B67" s="1" t="s">
        <v>13</v>
      </c>
      <c r="C67" s="3" t="s">
        <v>14</v>
      </c>
      <c r="D67" s="3" t="s">
        <v>24</v>
      </c>
      <c r="E67" s="3" t="s">
        <v>15</v>
      </c>
      <c r="F67" s="4">
        <v>99532.4</v>
      </c>
      <c r="G67" s="9">
        <v>3.2150747E-2</v>
      </c>
      <c r="H67" s="6">
        <f t="shared" si="4"/>
        <v>3200.0410107027997</v>
      </c>
      <c r="I67" s="4">
        <f>1726.95*0.94</f>
        <v>1623.3329999999999</v>
      </c>
      <c r="J67" s="8">
        <f t="shared" ref="J67:J83" si="6">+H67*I67</f>
        <v>5194732.1740272073</v>
      </c>
      <c r="K67" s="23" t="s">
        <v>16</v>
      </c>
    </row>
    <row r="68" spans="1:11" ht="15.6" x14ac:dyDescent="0.3">
      <c r="A68" s="13">
        <v>44820</v>
      </c>
      <c r="B68" s="1" t="s">
        <v>13</v>
      </c>
      <c r="C68" s="3" t="s">
        <v>14</v>
      </c>
      <c r="D68" s="3" t="s">
        <v>24</v>
      </c>
      <c r="E68" s="3" t="s">
        <v>15</v>
      </c>
      <c r="F68" s="4">
        <v>99532</v>
      </c>
      <c r="G68" s="9">
        <v>3.2150747E-2</v>
      </c>
      <c r="H68" s="6">
        <f t="shared" si="4"/>
        <v>3200.0281504039999</v>
      </c>
      <c r="I68" s="4">
        <f>1664.65*0.94</f>
        <v>1564.771</v>
      </c>
      <c r="J68" s="8">
        <f t="shared" si="6"/>
        <v>5007311.2489358168</v>
      </c>
      <c r="K68" s="23" t="s">
        <v>16</v>
      </c>
    </row>
    <row r="69" spans="1:11" ht="15.6" x14ac:dyDescent="0.3">
      <c r="A69" s="13">
        <v>44827</v>
      </c>
      <c r="B69" s="1" t="s">
        <v>13</v>
      </c>
      <c r="C69" s="3" t="s">
        <v>14</v>
      </c>
      <c r="D69" s="3" t="s">
        <v>24</v>
      </c>
      <c r="E69" s="3" t="s">
        <v>15</v>
      </c>
      <c r="F69" s="4">
        <v>74649</v>
      </c>
      <c r="G69" s="9">
        <v>3.2150747E-2</v>
      </c>
      <c r="H69" s="6">
        <f t="shared" si="4"/>
        <v>2400.0211128030001</v>
      </c>
      <c r="I69" s="4">
        <f>0.94*1661.45</f>
        <v>1561.7629999999999</v>
      </c>
      <c r="J69" s="8">
        <f t="shared" si="6"/>
        <v>3748264.1731945514</v>
      </c>
      <c r="K69" s="23" t="s">
        <v>16</v>
      </c>
    </row>
    <row r="70" spans="1:11" ht="15.6" x14ac:dyDescent="0.3">
      <c r="A70" s="13">
        <v>44834</v>
      </c>
      <c r="B70" s="1" t="s">
        <v>13</v>
      </c>
      <c r="C70" s="3" t="s">
        <v>14</v>
      </c>
      <c r="D70" s="3" t="s">
        <v>24</v>
      </c>
      <c r="E70" s="3" t="s">
        <v>15</v>
      </c>
      <c r="F70" s="4">
        <v>99532.4</v>
      </c>
      <c r="G70" s="9">
        <v>3.2150747E-2</v>
      </c>
      <c r="H70" s="6">
        <f t="shared" si="4"/>
        <v>3200.0410107027997</v>
      </c>
      <c r="I70" s="4">
        <f>0.94*1672.75</f>
        <v>1572.385</v>
      </c>
      <c r="J70" s="8">
        <f t="shared" si="6"/>
        <v>5031696.4846139215</v>
      </c>
      <c r="K70" s="23" t="s">
        <v>16</v>
      </c>
    </row>
    <row r="71" spans="1:11" ht="15.6" x14ac:dyDescent="0.3">
      <c r="A71" s="13">
        <v>44841</v>
      </c>
      <c r="B71" s="1" t="s">
        <v>13</v>
      </c>
      <c r="C71" s="3" t="s">
        <v>14</v>
      </c>
      <c r="D71" s="3" t="s">
        <v>24</v>
      </c>
      <c r="E71" s="3" t="s">
        <v>15</v>
      </c>
      <c r="F71" s="4">
        <v>99532</v>
      </c>
      <c r="G71" s="9">
        <v>3.2150747E-2</v>
      </c>
      <c r="H71" s="6">
        <f t="shared" ref="H71:H81" si="7">+F71*G71</f>
        <v>3200.0281504039999</v>
      </c>
      <c r="I71" s="4">
        <f>0.94*1711.5</f>
        <v>1608.81</v>
      </c>
      <c r="J71" s="8">
        <f t="shared" si="6"/>
        <v>5148237.2886514589</v>
      </c>
      <c r="K71" s="23" t="s">
        <v>16</v>
      </c>
    </row>
    <row r="72" spans="1:11" ht="15.6" x14ac:dyDescent="0.3">
      <c r="A72" s="13">
        <v>44848</v>
      </c>
      <c r="B72" s="1" t="s">
        <v>13</v>
      </c>
      <c r="C72" s="3" t="s">
        <v>14</v>
      </c>
      <c r="D72" s="3" t="s">
        <v>24</v>
      </c>
      <c r="E72" s="3" t="s">
        <v>15</v>
      </c>
      <c r="F72" s="4">
        <v>124414.2</v>
      </c>
      <c r="G72" s="9">
        <v>3.2150747E-2</v>
      </c>
      <c r="H72" s="6">
        <f t="shared" si="7"/>
        <v>4000.0094674073998</v>
      </c>
      <c r="I72" s="4">
        <f>1655.15*0.94</f>
        <v>1555.8409999999999</v>
      </c>
      <c r="J72" s="8">
        <f t="shared" si="6"/>
        <v>6223378.7297805957</v>
      </c>
      <c r="K72" s="23" t="s">
        <v>16</v>
      </c>
    </row>
    <row r="73" spans="1:11" ht="15.6" x14ac:dyDescent="0.3">
      <c r="A73" s="13">
        <v>44855</v>
      </c>
      <c r="B73" s="1" t="s">
        <v>13</v>
      </c>
      <c r="C73" s="3" t="s">
        <v>14</v>
      </c>
      <c r="D73" s="3" t="s">
        <v>24</v>
      </c>
      <c r="E73" s="3" t="s">
        <v>15</v>
      </c>
      <c r="F73" s="4">
        <v>99532.4</v>
      </c>
      <c r="G73" s="9">
        <v>3.2150747E-2</v>
      </c>
      <c r="H73" s="6">
        <f t="shared" si="7"/>
        <v>3200.0410107027997</v>
      </c>
      <c r="I73" s="4">
        <f>0.94*1643.25</f>
        <v>1544.655</v>
      </c>
      <c r="J73" s="8">
        <f t="shared" si="6"/>
        <v>4942959.3473871332</v>
      </c>
      <c r="K73" s="23" t="s">
        <v>16</v>
      </c>
    </row>
    <row r="74" spans="1:11" ht="15.6" x14ac:dyDescent="0.3">
      <c r="A74" s="13">
        <v>44862</v>
      </c>
      <c r="B74" s="1" t="s">
        <v>13</v>
      </c>
      <c r="C74" s="3" t="s">
        <v>14</v>
      </c>
      <c r="D74" s="3" t="s">
        <v>24</v>
      </c>
      <c r="E74" s="3" t="s">
        <v>15</v>
      </c>
      <c r="F74" s="4">
        <v>74649.100000000006</v>
      </c>
      <c r="G74" s="9">
        <v>3.2150747E-2</v>
      </c>
      <c r="H74" s="6">
        <f t="shared" si="7"/>
        <v>2400.0243278777002</v>
      </c>
      <c r="I74" s="4">
        <f>0.94*1649.25</f>
        <v>1550.2949999999998</v>
      </c>
      <c r="J74" s="8">
        <f t="shared" si="6"/>
        <v>3720745.715387159</v>
      </c>
      <c r="K74" s="23" t="s">
        <v>16</v>
      </c>
    </row>
    <row r="75" spans="1:11" ht="15.6" x14ac:dyDescent="0.3">
      <c r="A75" s="13">
        <v>44869</v>
      </c>
      <c r="B75" s="1" t="s">
        <v>13</v>
      </c>
      <c r="C75" s="3" t="s">
        <v>14</v>
      </c>
      <c r="D75" s="3" t="s">
        <v>24</v>
      </c>
      <c r="E75" s="3" t="s">
        <v>15</v>
      </c>
      <c r="F75" s="4">
        <v>74648.800000000003</v>
      </c>
      <c r="G75" s="9">
        <v>3.2150747E-2</v>
      </c>
      <c r="H75" s="6">
        <f t="shared" si="7"/>
        <v>2400.0146826536002</v>
      </c>
      <c r="I75" s="4">
        <f>1674.4*0.94</f>
        <v>1573.9359999999999</v>
      </c>
      <c r="J75" s="8">
        <f t="shared" si="6"/>
        <v>3777469.5095570767</v>
      </c>
      <c r="K75" s="23" t="s">
        <v>16</v>
      </c>
    </row>
    <row r="76" spans="1:11" ht="15.6" x14ac:dyDescent="0.3">
      <c r="A76" s="13">
        <v>44876</v>
      </c>
      <c r="B76" s="1" t="s">
        <v>13</v>
      </c>
      <c r="C76" s="3" t="s">
        <v>14</v>
      </c>
      <c r="D76" s="3" t="s">
        <v>24</v>
      </c>
      <c r="E76" s="3" t="s">
        <v>15</v>
      </c>
      <c r="F76" s="4">
        <v>124414.9</v>
      </c>
      <c r="G76" s="9">
        <v>3.2150747E-2</v>
      </c>
      <c r="H76" s="6">
        <f t="shared" si="7"/>
        <v>4000.0319729303001</v>
      </c>
      <c r="I76" s="4">
        <f>1764.75*0.94</f>
        <v>1658.865</v>
      </c>
      <c r="J76" s="8">
        <f t="shared" si="6"/>
        <v>6635513.0387750221</v>
      </c>
      <c r="K76" s="23" t="s">
        <v>16</v>
      </c>
    </row>
    <row r="77" spans="1:11" ht="15.6" x14ac:dyDescent="0.3">
      <c r="A77" s="13">
        <v>44883</v>
      </c>
      <c r="B77" s="1" t="s">
        <v>13</v>
      </c>
      <c r="C77" s="3" t="s">
        <v>14</v>
      </c>
      <c r="D77" s="3" t="s">
        <v>24</v>
      </c>
      <c r="E77" s="3" t="s">
        <v>15</v>
      </c>
      <c r="F77" s="4">
        <v>124414.5</v>
      </c>
      <c r="G77" s="9">
        <v>3.2150747E-2</v>
      </c>
      <c r="H77" s="6">
        <f t="shared" si="7"/>
        <v>4000.0191126314999</v>
      </c>
      <c r="I77" s="4">
        <f>1764.75*0.94</f>
        <v>1658.865</v>
      </c>
      <c r="J77" s="8">
        <f t="shared" si="6"/>
        <v>6635491.7052754527</v>
      </c>
      <c r="K77" s="23" t="s">
        <v>16</v>
      </c>
    </row>
    <row r="78" spans="1:11" ht="15.6" x14ac:dyDescent="0.3">
      <c r="A78" s="13">
        <v>44890</v>
      </c>
      <c r="B78" s="1" t="s">
        <v>13</v>
      </c>
      <c r="C78" s="3" t="s">
        <v>14</v>
      </c>
      <c r="D78" s="3" t="s">
        <v>24</v>
      </c>
      <c r="E78" s="3" t="s">
        <v>15</v>
      </c>
      <c r="F78" s="4">
        <v>124414.8</v>
      </c>
      <c r="G78" s="9">
        <v>3.2150747E-2</v>
      </c>
      <c r="H78" s="6">
        <f t="shared" si="7"/>
        <v>4000.0287578556004</v>
      </c>
      <c r="I78" s="4">
        <f>1753.55*0.94</f>
        <v>1648.3369999999998</v>
      </c>
      <c r="J78" s="8">
        <f t="shared" si="6"/>
        <v>6593395.4026374258</v>
      </c>
      <c r="K78" s="23" t="s">
        <v>16</v>
      </c>
    </row>
    <row r="79" spans="1:11" ht="15.6" x14ac:dyDescent="0.3">
      <c r="A79" s="13">
        <v>44897</v>
      </c>
      <c r="B79" s="1" t="s">
        <v>13</v>
      </c>
      <c r="C79" s="3" t="s">
        <v>14</v>
      </c>
      <c r="D79" s="3" t="s">
        <v>24</v>
      </c>
      <c r="E79" s="3" t="s">
        <v>15</v>
      </c>
      <c r="F79" s="4">
        <v>99531.4</v>
      </c>
      <c r="G79" s="9">
        <v>3.2150747E-2</v>
      </c>
      <c r="H79" s="6">
        <f t="shared" si="7"/>
        <v>3200.0088599557998</v>
      </c>
      <c r="I79" s="4">
        <f>1800.75*0.94</f>
        <v>1692.7049999999999</v>
      </c>
      <c r="J79" s="8">
        <f t="shared" si="6"/>
        <v>5416670.9972914821</v>
      </c>
      <c r="K79" s="23" t="s">
        <v>16</v>
      </c>
    </row>
    <row r="80" spans="1:11" ht="15.6" x14ac:dyDescent="0.3">
      <c r="A80" s="13">
        <v>44904</v>
      </c>
      <c r="B80" s="1" t="s">
        <v>13</v>
      </c>
      <c r="C80" s="3" t="s">
        <v>14</v>
      </c>
      <c r="D80" s="3" t="s">
        <v>24</v>
      </c>
      <c r="E80" s="3" t="s">
        <v>15</v>
      </c>
      <c r="F80" s="4">
        <v>149297.1</v>
      </c>
      <c r="G80" s="9">
        <v>3.2150747E-2</v>
      </c>
      <c r="H80" s="6">
        <f t="shared" si="7"/>
        <v>4800.0132899337004</v>
      </c>
      <c r="I80" s="4">
        <f>1796.15*0.94</f>
        <v>1688.3810000000001</v>
      </c>
      <c r="J80" s="8">
        <f t="shared" si="6"/>
        <v>8104251.2384715518</v>
      </c>
      <c r="K80" s="23" t="s">
        <v>16</v>
      </c>
    </row>
    <row r="81" spans="1:11" ht="15.6" x14ac:dyDescent="0.3">
      <c r="A81" s="13">
        <v>44911</v>
      </c>
      <c r="B81" s="1" t="s">
        <v>13</v>
      </c>
      <c r="C81" s="3" t="s">
        <v>14</v>
      </c>
      <c r="D81" s="3" t="s">
        <v>24</v>
      </c>
      <c r="E81" s="3" t="s">
        <v>15</v>
      </c>
      <c r="F81" s="4">
        <v>149297.20000000001</v>
      </c>
      <c r="G81" s="9">
        <v>3.2150747E-2</v>
      </c>
      <c r="H81" s="6">
        <f t="shared" si="7"/>
        <v>4800.0165050084006</v>
      </c>
      <c r="I81" s="4">
        <f>1792.55*0.94</f>
        <v>1684.9969999999998</v>
      </c>
      <c r="J81" s="8">
        <f t="shared" si="6"/>
        <v>8088013.4108896395</v>
      </c>
      <c r="K81" s="23" t="s">
        <v>16</v>
      </c>
    </row>
    <row r="82" spans="1:11" ht="15.6" x14ac:dyDescent="0.3">
      <c r="A82" s="13">
        <v>44918</v>
      </c>
      <c r="B82" s="1" t="s">
        <v>13</v>
      </c>
      <c r="C82" s="3" t="s">
        <v>14</v>
      </c>
      <c r="D82" s="3" t="s">
        <v>24</v>
      </c>
      <c r="E82" s="3" t="s">
        <v>15</v>
      </c>
      <c r="F82" s="4">
        <v>99532.5</v>
      </c>
      <c r="G82" s="9">
        <v>3.2150747E-2</v>
      </c>
      <c r="H82" s="6">
        <f>F82*G82</f>
        <v>3200.0442257774998</v>
      </c>
      <c r="I82" s="4">
        <f>1797.4*0.94</f>
        <v>1689.556</v>
      </c>
      <c r="J82" s="8">
        <f t="shared" si="6"/>
        <v>5406653.9219277296</v>
      </c>
      <c r="K82" s="23" t="s">
        <v>16</v>
      </c>
    </row>
    <row r="83" spans="1:11" ht="15.6" x14ac:dyDescent="0.3">
      <c r="A83" s="13">
        <v>44925</v>
      </c>
      <c r="B83" s="1" t="s">
        <v>13</v>
      </c>
      <c r="C83" s="3" t="s">
        <v>14</v>
      </c>
      <c r="D83" s="3" t="s">
        <v>24</v>
      </c>
      <c r="E83" s="3" t="s">
        <v>15</v>
      </c>
      <c r="F83" s="4">
        <v>74649.7</v>
      </c>
      <c r="G83" s="9">
        <v>3.2150747E-2</v>
      </c>
      <c r="H83" s="6">
        <f>F83*G83</f>
        <v>2400.0436183258998</v>
      </c>
      <c r="I83" s="4">
        <f>0.94*1812.35</f>
        <v>1703.6089999999999</v>
      </c>
      <c r="J83" s="8">
        <f t="shared" si="6"/>
        <v>4088735.9085725676</v>
      </c>
      <c r="K83" s="23" t="s">
        <v>16</v>
      </c>
    </row>
    <row r="84" spans="1:11" ht="16.2" thickBot="1" x14ac:dyDescent="0.35">
      <c r="A84" s="69" t="s">
        <v>32</v>
      </c>
      <c r="B84" s="70"/>
      <c r="C84" s="70"/>
      <c r="D84" s="70"/>
      <c r="E84" s="71"/>
      <c r="F84" s="35">
        <f>SUM(F21:F83)</f>
        <v>5256530.5999999996</v>
      </c>
      <c r="G84" s="35"/>
      <c r="H84" s="35">
        <f t="shared" ref="H84:J84" si="8">SUM(H21:H83)</f>
        <v>169001.3854183582</v>
      </c>
      <c r="I84" s="34"/>
      <c r="J84" s="35">
        <f t="shared" si="8"/>
        <v>287561041.89327633</v>
      </c>
      <c r="K84" s="23"/>
    </row>
    <row r="85" spans="1:11" ht="16.2" thickTop="1" x14ac:dyDescent="0.3">
      <c r="A85" s="13">
        <v>44663</v>
      </c>
      <c r="B85" s="1" t="s">
        <v>17</v>
      </c>
      <c r="C85" s="3" t="s">
        <v>14</v>
      </c>
      <c r="D85" s="3" t="s">
        <v>24</v>
      </c>
      <c r="E85" s="3" t="s">
        <v>10</v>
      </c>
      <c r="F85" s="6">
        <v>20532.400000000001</v>
      </c>
      <c r="G85" s="37"/>
      <c r="H85" s="6">
        <f t="shared" ref="H85:H101" si="9">F85*0.032150747</f>
        <v>660.13199770280005</v>
      </c>
      <c r="I85" s="12">
        <v>1885.45</v>
      </c>
      <c r="J85" s="8">
        <f>I85*H85*0.92</f>
        <v>1145074.2050632448</v>
      </c>
      <c r="K85" s="23" t="s">
        <v>16</v>
      </c>
    </row>
    <row r="86" spans="1:11" ht="15.6" x14ac:dyDescent="0.3">
      <c r="A86" s="13">
        <v>44677</v>
      </c>
      <c r="B86" s="1" t="s">
        <v>17</v>
      </c>
      <c r="C86" s="3" t="s">
        <v>14</v>
      </c>
      <c r="D86" s="3" t="s">
        <v>24</v>
      </c>
      <c r="E86" s="3" t="s">
        <v>10</v>
      </c>
      <c r="F86" s="10">
        <v>195427</v>
      </c>
      <c r="G86" s="11"/>
      <c r="H86" s="6">
        <f t="shared" si="9"/>
        <v>6283.1240339690003</v>
      </c>
      <c r="I86" s="10">
        <v>1893.64</v>
      </c>
      <c r="J86" s="8">
        <f>I86*H86*0.92</f>
        <v>10946136.996030254</v>
      </c>
      <c r="K86" s="23" t="s">
        <v>16</v>
      </c>
    </row>
    <row r="87" spans="1:11" ht="15.6" x14ac:dyDescent="0.3">
      <c r="A87" s="13">
        <v>44684</v>
      </c>
      <c r="B87" s="1" t="s">
        <v>17</v>
      </c>
      <c r="C87" s="3" t="s">
        <v>14</v>
      </c>
      <c r="D87" s="3" t="s">
        <v>24</v>
      </c>
      <c r="E87" s="3" t="s">
        <v>10</v>
      </c>
      <c r="F87" s="10">
        <v>319055.5</v>
      </c>
      <c r="G87" s="11"/>
      <c r="H87" s="6">
        <f t="shared" si="9"/>
        <v>10257.8726594585</v>
      </c>
      <c r="I87" s="10">
        <v>1897.19</v>
      </c>
      <c r="J87" s="8">
        <f>I87*H87*0.92</f>
        <v>17904242.756334227</v>
      </c>
      <c r="K87" s="21" t="s">
        <v>18</v>
      </c>
    </row>
    <row r="88" spans="1:11" ht="15.6" x14ac:dyDescent="0.3">
      <c r="A88" s="13">
        <v>44698</v>
      </c>
      <c r="B88" s="1" t="s">
        <v>17</v>
      </c>
      <c r="C88" s="3" t="s">
        <v>14</v>
      </c>
      <c r="D88" s="3" t="s">
        <v>24</v>
      </c>
      <c r="E88" s="3" t="s">
        <v>10</v>
      </c>
      <c r="F88" s="10">
        <v>324533</v>
      </c>
      <c r="G88" s="11"/>
      <c r="H88" s="6">
        <f t="shared" si="9"/>
        <v>10433.978376151001</v>
      </c>
      <c r="I88" s="10">
        <v>1902.4</v>
      </c>
      <c r="J88" s="8">
        <f>I88*H88*0.92</f>
        <v>18261632.425766494</v>
      </c>
      <c r="K88" s="21" t="s">
        <v>18</v>
      </c>
    </row>
    <row r="89" spans="1:11" ht="15.6" x14ac:dyDescent="0.3">
      <c r="A89" s="13">
        <v>44705</v>
      </c>
      <c r="B89" s="1" t="s">
        <v>17</v>
      </c>
      <c r="C89" s="3" t="s">
        <v>14</v>
      </c>
      <c r="D89" s="3" t="s">
        <v>24</v>
      </c>
      <c r="E89" s="3" t="s">
        <v>10</v>
      </c>
      <c r="F89" s="10">
        <v>31218</v>
      </c>
      <c r="G89" s="9"/>
      <c r="H89" s="6">
        <f t="shared" si="9"/>
        <v>1003.682019846</v>
      </c>
      <c r="I89" s="10">
        <v>1911.3</v>
      </c>
      <c r="J89" s="8">
        <f>I89*H89*0.95</f>
        <v>1822420.5723050768</v>
      </c>
      <c r="K89" s="21" t="s">
        <v>19</v>
      </c>
    </row>
    <row r="90" spans="1:11" ht="15.6" x14ac:dyDescent="0.3">
      <c r="A90" s="13">
        <v>44712</v>
      </c>
      <c r="B90" s="1" t="s">
        <v>17</v>
      </c>
      <c r="C90" s="3" t="s">
        <v>14</v>
      </c>
      <c r="D90" s="3" t="s">
        <v>24</v>
      </c>
      <c r="E90" s="3" t="s">
        <v>10</v>
      </c>
      <c r="F90" s="10">
        <v>127689</v>
      </c>
      <c r="G90" s="11"/>
      <c r="H90" s="6">
        <f t="shared" si="9"/>
        <v>4105.2967336829997</v>
      </c>
      <c r="I90" s="10">
        <v>1948.24</v>
      </c>
      <c r="J90" s="8">
        <f t="shared" ref="J90:J101" si="10">I90*H90*0.92</f>
        <v>7358255.0437561227</v>
      </c>
      <c r="K90" s="23" t="s">
        <v>16</v>
      </c>
    </row>
    <row r="91" spans="1:11" ht="15.6" x14ac:dyDescent="0.3">
      <c r="A91" s="13">
        <v>44719</v>
      </c>
      <c r="B91" s="1" t="s">
        <v>17</v>
      </c>
      <c r="C91" s="3" t="s">
        <v>14</v>
      </c>
      <c r="D91" s="3" t="s">
        <v>24</v>
      </c>
      <c r="E91" s="3" t="s">
        <v>10</v>
      </c>
      <c r="F91" s="10">
        <v>207031.6</v>
      </c>
      <c r="G91" s="11"/>
      <c r="H91" s="6">
        <f t="shared" si="9"/>
        <v>6656.2205926052002</v>
      </c>
      <c r="I91" s="10">
        <v>1907.66</v>
      </c>
      <c r="J91" s="8">
        <f t="shared" si="10"/>
        <v>11681981.313634098</v>
      </c>
      <c r="K91" s="21" t="s">
        <v>18</v>
      </c>
    </row>
    <row r="92" spans="1:11" ht="15.6" x14ac:dyDescent="0.3">
      <c r="A92" s="13">
        <v>44719</v>
      </c>
      <c r="B92" s="1" t="s">
        <v>17</v>
      </c>
      <c r="C92" s="3" t="s">
        <v>14</v>
      </c>
      <c r="D92" s="3" t="s">
        <v>24</v>
      </c>
      <c r="E92" s="3" t="s">
        <v>10</v>
      </c>
      <c r="F92" s="10">
        <v>98175.2</v>
      </c>
      <c r="G92" s="11"/>
      <c r="H92" s="6">
        <f t="shared" si="9"/>
        <v>3156.4060168743999</v>
      </c>
      <c r="I92" s="10">
        <v>1920.28</v>
      </c>
      <c r="J92" s="8">
        <f>I92*H92*0.92</f>
        <v>5576288.6783968871</v>
      </c>
      <c r="K92" s="20" t="s">
        <v>19</v>
      </c>
    </row>
    <row r="93" spans="1:11" ht="15.6" x14ac:dyDescent="0.3">
      <c r="A93" s="13">
        <v>44747</v>
      </c>
      <c r="B93" s="1" t="s">
        <v>17</v>
      </c>
      <c r="C93" s="3" t="s">
        <v>14</v>
      </c>
      <c r="D93" s="3" t="s">
        <v>24</v>
      </c>
      <c r="E93" s="3" t="s">
        <v>10</v>
      </c>
      <c r="F93" s="4">
        <v>130597.1</v>
      </c>
      <c r="G93" s="9"/>
      <c r="H93" s="6">
        <f t="shared" si="9"/>
        <v>4198.7943210336998</v>
      </c>
      <c r="I93" s="4">
        <v>1846.16</v>
      </c>
      <c r="J93" s="8">
        <f t="shared" si="10"/>
        <v>7131514.4338220097</v>
      </c>
      <c r="K93" s="23" t="s">
        <v>16</v>
      </c>
    </row>
    <row r="94" spans="1:11" ht="15.6" x14ac:dyDescent="0.3">
      <c r="A94" s="13">
        <v>44747</v>
      </c>
      <c r="B94" s="1" t="s">
        <v>17</v>
      </c>
      <c r="C94" s="3" t="s">
        <v>14</v>
      </c>
      <c r="D94" s="3" t="s">
        <v>24</v>
      </c>
      <c r="E94" s="3" t="s">
        <v>10</v>
      </c>
      <c r="F94" s="4">
        <v>57426.2</v>
      </c>
      <c r="G94" s="9"/>
      <c r="H94" s="6">
        <f t="shared" si="9"/>
        <v>1846.2952273714</v>
      </c>
      <c r="I94" s="4">
        <v>1846.67</v>
      </c>
      <c r="J94" s="8">
        <f t="shared" si="10"/>
        <v>3136738.1669275481</v>
      </c>
      <c r="K94" s="21" t="s">
        <v>19</v>
      </c>
    </row>
    <row r="95" spans="1:11" ht="15.6" x14ac:dyDescent="0.3">
      <c r="A95" s="13">
        <v>44782</v>
      </c>
      <c r="B95" s="1" t="s">
        <v>17</v>
      </c>
      <c r="C95" s="3" t="s">
        <v>14</v>
      </c>
      <c r="D95" s="3" t="s">
        <v>24</v>
      </c>
      <c r="E95" s="3" t="s">
        <v>10</v>
      </c>
      <c r="F95" s="4">
        <v>219256.1</v>
      </c>
      <c r="G95" s="9"/>
      <c r="H95" s="6">
        <f t="shared" si="9"/>
        <v>7049.2473993067006</v>
      </c>
      <c r="I95" s="4">
        <v>1750.94</v>
      </c>
      <c r="J95" s="8">
        <f t="shared" si="10"/>
        <v>11355384.502034709</v>
      </c>
      <c r="K95" s="21" t="s">
        <v>18</v>
      </c>
    </row>
    <row r="96" spans="1:11" ht="15.6" x14ac:dyDescent="0.3">
      <c r="A96" s="13">
        <v>44810</v>
      </c>
      <c r="B96" s="1" t="s">
        <v>17</v>
      </c>
      <c r="C96" s="3" t="s">
        <v>14</v>
      </c>
      <c r="D96" s="3" t="s">
        <v>24</v>
      </c>
      <c r="E96" s="3" t="s">
        <v>10</v>
      </c>
      <c r="F96" s="4">
        <v>138492.1</v>
      </c>
      <c r="G96" s="9"/>
      <c r="H96" s="6">
        <f t="shared" si="9"/>
        <v>4452.6244685987003</v>
      </c>
      <c r="I96" s="4">
        <v>1763.52</v>
      </c>
      <c r="J96" s="8">
        <f t="shared" si="10"/>
        <v>7224108.918634126</v>
      </c>
      <c r="K96" s="23" t="s">
        <v>16</v>
      </c>
    </row>
    <row r="97" spans="1:11" ht="15.6" x14ac:dyDescent="0.3">
      <c r="A97" s="13">
        <v>44810</v>
      </c>
      <c r="B97" s="1" t="s">
        <v>17</v>
      </c>
      <c r="C97" s="3" t="s">
        <v>14</v>
      </c>
      <c r="D97" s="3" t="s">
        <v>24</v>
      </c>
      <c r="E97" s="3" t="s">
        <v>10</v>
      </c>
      <c r="F97" s="4">
        <v>80851.899999999994</v>
      </c>
      <c r="G97" s="9"/>
      <c r="H97" s="6">
        <f t="shared" si="9"/>
        <v>2599.4489813692999</v>
      </c>
      <c r="I97" s="4">
        <v>1755.62</v>
      </c>
      <c r="J97" s="8">
        <f t="shared" si="10"/>
        <v>4198553.051017845</v>
      </c>
      <c r="K97" s="21" t="s">
        <v>19</v>
      </c>
    </row>
    <row r="98" spans="1:11" ht="15.6" x14ac:dyDescent="0.3">
      <c r="A98" s="13">
        <v>44859</v>
      </c>
      <c r="B98" s="1" t="s">
        <v>17</v>
      </c>
      <c r="C98" s="3" t="s">
        <v>14</v>
      </c>
      <c r="D98" s="3" t="s">
        <v>24</v>
      </c>
      <c r="E98" s="3" t="s">
        <v>10</v>
      </c>
      <c r="F98" s="4">
        <v>243719.2</v>
      </c>
      <c r="G98" s="9"/>
      <c r="H98" s="6">
        <f t="shared" si="9"/>
        <v>7835.7543382424001</v>
      </c>
      <c r="I98" s="4">
        <v>1689.19</v>
      </c>
      <c r="J98" s="8">
        <f t="shared" si="10"/>
        <v>12177191.640966427</v>
      </c>
      <c r="K98" s="21" t="s">
        <v>18</v>
      </c>
    </row>
    <row r="99" spans="1:11" ht="15.6" x14ac:dyDescent="0.3">
      <c r="A99" s="13">
        <v>44859</v>
      </c>
      <c r="B99" s="1" t="s">
        <v>17</v>
      </c>
      <c r="C99" s="3" t="s">
        <v>14</v>
      </c>
      <c r="D99" s="3" t="s">
        <v>24</v>
      </c>
      <c r="E99" s="3" t="s">
        <v>10</v>
      </c>
      <c r="F99" s="4">
        <v>40890.800000000003</v>
      </c>
      <c r="G99" s="9"/>
      <c r="H99" s="6">
        <f t="shared" si="9"/>
        <v>1314.6697654276002</v>
      </c>
      <c r="I99" s="4">
        <v>1687.26</v>
      </c>
      <c r="J99" s="8">
        <f t="shared" si="10"/>
        <v>2040734.531742143</v>
      </c>
      <c r="K99" s="23" t="s">
        <v>16</v>
      </c>
    </row>
    <row r="100" spans="1:11" ht="15.6" x14ac:dyDescent="0.3">
      <c r="A100" s="13">
        <v>44880</v>
      </c>
      <c r="B100" s="1" t="s">
        <v>17</v>
      </c>
      <c r="C100" s="3" t="s">
        <v>14</v>
      </c>
      <c r="D100" s="3" t="s">
        <v>24</v>
      </c>
      <c r="E100" s="3" t="s">
        <v>10</v>
      </c>
      <c r="F100" s="4">
        <v>190345.1</v>
      </c>
      <c r="G100" s="9"/>
      <c r="H100" s="6">
        <f t="shared" si="9"/>
        <v>6119.7371527897003</v>
      </c>
      <c r="I100" s="4">
        <v>1682.76</v>
      </c>
      <c r="J100" s="8">
        <f t="shared" si="10"/>
        <v>9474204.9799301252</v>
      </c>
      <c r="K100" s="21" t="s">
        <v>18</v>
      </c>
    </row>
    <row r="101" spans="1:11" ht="15.6" x14ac:dyDescent="0.3">
      <c r="A101" s="13">
        <v>44901</v>
      </c>
      <c r="B101" s="1" t="s">
        <v>17</v>
      </c>
      <c r="C101" s="3" t="s">
        <v>14</v>
      </c>
      <c r="D101" s="3" t="s">
        <v>24</v>
      </c>
      <c r="E101" s="3" t="s">
        <v>10</v>
      </c>
      <c r="F101" s="4">
        <v>201424.1</v>
      </c>
      <c r="G101" s="9"/>
      <c r="H101" s="6">
        <f t="shared" si="9"/>
        <v>6475.9352788026999</v>
      </c>
      <c r="I101" s="4">
        <v>1763.6</v>
      </c>
      <c r="J101" s="8">
        <f t="shared" si="10"/>
        <v>10507282.701080726</v>
      </c>
      <c r="K101" s="21" t="s">
        <v>18</v>
      </c>
    </row>
    <row r="102" spans="1:11" ht="16.2" thickBot="1" x14ac:dyDescent="0.35">
      <c r="A102" s="69" t="s">
        <v>32</v>
      </c>
      <c r="B102" s="70"/>
      <c r="C102" s="70"/>
      <c r="D102" s="70"/>
      <c r="E102" s="71"/>
      <c r="F102" s="35">
        <f>SUM(F85:F101)</f>
        <v>2626664.3000000003</v>
      </c>
      <c r="G102" s="35">
        <f>SUM(G85:G101)</f>
        <v>0</v>
      </c>
      <c r="H102" s="35">
        <f>SUM(H85:H101)</f>
        <v>84449.219363232114</v>
      </c>
      <c r="I102" s="34"/>
      <c r="J102" s="35">
        <f>SUM(J85:J101)</f>
        <v>141941744.91744208</v>
      </c>
      <c r="K102" s="21"/>
    </row>
    <row r="103" spans="1:11" ht="16.2" thickTop="1" x14ac:dyDescent="0.3">
      <c r="A103" s="13">
        <v>44579</v>
      </c>
      <c r="B103" s="1" t="s">
        <v>20</v>
      </c>
      <c r="C103" s="3" t="s">
        <v>14</v>
      </c>
      <c r="D103" s="3" t="s">
        <v>24</v>
      </c>
      <c r="E103" s="3" t="s">
        <v>15</v>
      </c>
      <c r="F103" s="4">
        <v>149092</v>
      </c>
      <c r="G103" s="9">
        <v>3.2150747E-2</v>
      </c>
      <c r="H103" s="6">
        <f t="shared" ref="H103:H109" si="11">F103*G103</f>
        <v>4793.4191717240001</v>
      </c>
      <c r="I103" s="4">
        <f>1817.25*0.94</f>
        <v>1708.2149999999999</v>
      </c>
      <c r="J103" s="8">
        <f t="shared" ref="J103:J114" si="12">+H103*I103</f>
        <v>8188190.5304265125</v>
      </c>
      <c r="K103" s="23" t="s">
        <v>16</v>
      </c>
    </row>
    <row r="104" spans="1:11" ht="15.6" x14ac:dyDescent="0.3">
      <c r="A104" s="13">
        <v>44586</v>
      </c>
      <c r="B104" s="1" t="s">
        <v>20</v>
      </c>
      <c r="C104" s="3" t="s">
        <v>14</v>
      </c>
      <c r="D104" s="3" t="s">
        <v>24</v>
      </c>
      <c r="E104" s="3" t="s">
        <v>15</v>
      </c>
      <c r="F104" s="4">
        <v>149125</v>
      </c>
      <c r="G104" s="9">
        <v>3.2150747E-2</v>
      </c>
      <c r="H104" s="6">
        <f t="shared" si="11"/>
        <v>4794.480146375</v>
      </c>
      <c r="I104" s="4">
        <f>1847.3*0.94</f>
        <v>1736.4619999999998</v>
      </c>
      <c r="J104" s="8">
        <f t="shared" si="12"/>
        <v>8325432.5839346237</v>
      </c>
      <c r="K104" s="23" t="s">
        <v>16</v>
      </c>
    </row>
    <row r="105" spans="1:11" ht="15.6" x14ac:dyDescent="0.3">
      <c r="A105" s="13">
        <v>44614</v>
      </c>
      <c r="B105" s="1" t="s">
        <v>20</v>
      </c>
      <c r="C105" s="3" t="s">
        <v>14</v>
      </c>
      <c r="D105" s="3" t="s">
        <v>24</v>
      </c>
      <c r="E105" s="3" t="s">
        <v>15</v>
      </c>
      <c r="F105" s="4">
        <v>149040</v>
      </c>
      <c r="G105" s="9">
        <v>3.2150747E-2</v>
      </c>
      <c r="H105" s="6">
        <f t="shared" si="11"/>
        <v>4791.7473328799997</v>
      </c>
      <c r="I105" s="4">
        <f>1899.15*0.94</f>
        <v>1785.201</v>
      </c>
      <c r="J105" s="8">
        <f t="shared" si="12"/>
        <v>8554232.1304047089</v>
      </c>
      <c r="K105" s="23" t="s">
        <v>16</v>
      </c>
    </row>
    <row r="106" spans="1:11" ht="15.6" x14ac:dyDescent="0.3">
      <c r="A106" s="13">
        <v>44621</v>
      </c>
      <c r="B106" s="1" t="s">
        <v>20</v>
      </c>
      <c r="C106" s="3" t="s">
        <v>14</v>
      </c>
      <c r="D106" s="3" t="s">
        <v>24</v>
      </c>
      <c r="E106" s="3" t="s">
        <v>15</v>
      </c>
      <c r="F106" s="4">
        <v>124262</v>
      </c>
      <c r="G106" s="9">
        <v>3.2150747E-2</v>
      </c>
      <c r="H106" s="6">
        <f t="shared" si="11"/>
        <v>3995.116123714</v>
      </c>
      <c r="I106" s="4">
        <f>1922*0.94</f>
        <v>1806.6799999999998</v>
      </c>
      <c r="J106" s="8">
        <f t="shared" si="12"/>
        <v>7217896.3983916091</v>
      </c>
      <c r="K106" s="23" t="s">
        <v>16</v>
      </c>
    </row>
    <row r="107" spans="1:11" ht="15.6" x14ac:dyDescent="0.3">
      <c r="A107" s="13">
        <v>44628</v>
      </c>
      <c r="B107" s="1" t="s">
        <v>20</v>
      </c>
      <c r="C107" s="3" t="s">
        <v>14</v>
      </c>
      <c r="D107" s="3" t="s">
        <v>24</v>
      </c>
      <c r="E107" s="3" t="s">
        <v>15</v>
      </c>
      <c r="F107" s="4">
        <v>62115</v>
      </c>
      <c r="G107" s="9">
        <v>3.2150747E-2</v>
      </c>
      <c r="H107" s="6">
        <f t="shared" si="11"/>
        <v>1997.0436499049999</v>
      </c>
      <c r="I107" s="4">
        <f>2039.05*0.94</f>
        <v>1916.7069999999999</v>
      </c>
      <c r="J107" s="8">
        <f t="shared" si="12"/>
        <v>3827747.5430784626</v>
      </c>
      <c r="K107" s="21" t="s">
        <v>21</v>
      </c>
    </row>
    <row r="108" spans="1:11" ht="15.6" x14ac:dyDescent="0.3">
      <c r="A108" s="13">
        <v>44635</v>
      </c>
      <c r="B108" s="1" t="s">
        <v>20</v>
      </c>
      <c r="C108" s="3" t="s">
        <v>14</v>
      </c>
      <c r="D108" s="3" t="s">
        <v>24</v>
      </c>
      <c r="E108" s="3" t="s">
        <v>15</v>
      </c>
      <c r="F108" s="4">
        <v>62152</v>
      </c>
      <c r="G108" s="9">
        <v>3.2150747E-2</v>
      </c>
      <c r="H108" s="6">
        <f t="shared" si="11"/>
        <v>1998.2332275440001</v>
      </c>
      <c r="I108" s="4">
        <f>1928.75*0.94</f>
        <v>1813.0249999999999</v>
      </c>
      <c r="J108" s="8">
        <f t="shared" si="12"/>
        <v>3622846.7973679607</v>
      </c>
      <c r="K108" s="23" t="s">
        <v>16</v>
      </c>
    </row>
    <row r="109" spans="1:11" ht="15.6" x14ac:dyDescent="0.3">
      <c r="A109" s="13">
        <v>44649</v>
      </c>
      <c r="B109" s="1" t="s">
        <v>20</v>
      </c>
      <c r="C109" s="3" t="s">
        <v>14</v>
      </c>
      <c r="D109" s="3" t="s">
        <v>24</v>
      </c>
      <c r="E109" s="3" t="s">
        <v>15</v>
      </c>
      <c r="F109" s="4">
        <v>149140</v>
      </c>
      <c r="G109" s="9">
        <v>3.2150747E-2</v>
      </c>
      <c r="H109" s="6">
        <f t="shared" si="11"/>
        <v>4794.9624075800002</v>
      </c>
      <c r="I109" s="4">
        <f>1911.05*0.94</f>
        <v>1796.3869999999999</v>
      </c>
      <c r="J109" s="8">
        <f t="shared" si="12"/>
        <v>8613608.1344654132</v>
      </c>
      <c r="K109" s="23" t="s">
        <v>16</v>
      </c>
    </row>
    <row r="110" spans="1:11" ht="15.6" x14ac:dyDescent="0.3">
      <c r="A110" s="13">
        <v>44663</v>
      </c>
      <c r="B110" s="1" t="s">
        <v>20</v>
      </c>
      <c r="C110" s="3" t="s">
        <v>14</v>
      </c>
      <c r="D110" s="3" t="s">
        <v>24</v>
      </c>
      <c r="E110" s="3" t="s">
        <v>15</v>
      </c>
      <c r="F110" s="4">
        <v>62128</v>
      </c>
      <c r="G110" s="9">
        <v>3.2150747E-2</v>
      </c>
      <c r="H110" s="6">
        <f>+F110*G110</f>
        <v>1997.461609616</v>
      </c>
      <c r="I110" s="4">
        <f>1960.85*0.94</f>
        <v>1843.1989999999998</v>
      </c>
      <c r="J110" s="8">
        <f t="shared" si="12"/>
        <v>3681719.2413826012</v>
      </c>
      <c r="K110" s="23" t="s">
        <v>16</v>
      </c>
    </row>
    <row r="111" spans="1:11" ht="15.6" x14ac:dyDescent="0.3">
      <c r="A111" s="13">
        <v>44670</v>
      </c>
      <c r="B111" s="1" t="s">
        <v>20</v>
      </c>
      <c r="C111" s="3" t="s">
        <v>14</v>
      </c>
      <c r="D111" s="3" t="s">
        <v>24</v>
      </c>
      <c r="E111" s="3" t="s">
        <v>15</v>
      </c>
      <c r="F111" s="4">
        <v>149114</v>
      </c>
      <c r="G111" s="9">
        <v>3.2150747E-2</v>
      </c>
      <c r="H111" s="6">
        <v>4794.13</v>
      </c>
      <c r="I111" s="4">
        <f>1975.95*0.94</f>
        <v>1857.393</v>
      </c>
      <c r="J111" s="8">
        <f t="shared" si="12"/>
        <v>8904583.5030899998</v>
      </c>
      <c r="K111" s="23" t="s">
        <v>16</v>
      </c>
    </row>
    <row r="112" spans="1:11" ht="15.6" x14ac:dyDescent="0.3">
      <c r="A112" s="13">
        <v>44684</v>
      </c>
      <c r="B112" s="1" t="s">
        <v>20</v>
      </c>
      <c r="C112" s="3" t="s">
        <v>14</v>
      </c>
      <c r="D112" s="3" t="s">
        <v>24</v>
      </c>
      <c r="E112" s="3" t="s">
        <v>15</v>
      </c>
      <c r="F112" s="4">
        <v>62142</v>
      </c>
      <c r="G112" s="9">
        <v>3.2150747E-2</v>
      </c>
      <c r="H112" s="6">
        <f t="shared" ref="H112:H129" si="13">F112*G112</f>
        <v>1997.911720074</v>
      </c>
      <c r="I112" s="4">
        <f>1869.7*0.94</f>
        <v>1757.518</v>
      </c>
      <c r="J112" s="8">
        <f t="shared" si="12"/>
        <v>3511365.8104410162</v>
      </c>
      <c r="K112" s="23" t="s">
        <v>16</v>
      </c>
    </row>
    <row r="113" spans="1:11" ht="15.6" x14ac:dyDescent="0.3">
      <c r="A113" s="13">
        <v>44691</v>
      </c>
      <c r="B113" s="1" t="s">
        <v>20</v>
      </c>
      <c r="C113" s="3" t="s">
        <v>14</v>
      </c>
      <c r="D113" s="3" t="s">
        <v>24</v>
      </c>
      <c r="E113" s="3" t="s">
        <v>15</v>
      </c>
      <c r="F113" s="4">
        <v>62135</v>
      </c>
      <c r="G113" s="9">
        <v>3.2150747E-2</v>
      </c>
      <c r="H113" s="6">
        <f t="shared" si="13"/>
        <v>1997.686664845</v>
      </c>
      <c r="I113" s="4">
        <f>1862.25*0.94</f>
        <v>1750.5149999999999</v>
      </c>
      <c r="J113" s="8">
        <f t="shared" si="12"/>
        <v>3496980.472111145</v>
      </c>
      <c r="K113" s="23" t="s">
        <v>16</v>
      </c>
    </row>
    <row r="114" spans="1:11" ht="15.6" x14ac:dyDescent="0.3">
      <c r="A114" s="13">
        <v>44698</v>
      </c>
      <c r="B114" s="1" t="s">
        <v>20</v>
      </c>
      <c r="C114" s="3" t="s">
        <v>14</v>
      </c>
      <c r="D114" s="3" t="s">
        <v>24</v>
      </c>
      <c r="E114" s="3" t="s">
        <v>15</v>
      </c>
      <c r="F114" s="4">
        <v>149126.5</v>
      </c>
      <c r="G114" s="9">
        <v>3.2150747E-2</v>
      </c>
      <c r="H114" s="6">
        <f t="shared" si="13"/>
        <v>4794.5283724954998</v>
      </c>
      <c r="I114" s="4">
        <f>1828.05*0.94</f>
        <v>1718.367</v>
      </c>
      <c r="J114" s="8">
        <f t="shared" si="12"/>
        <v>8238759.3358599739</v>
      </c>
      <c r="K114" s="23" t="s">
        <v>16</v>
      </c>
    </row>
    <row r="115" spans="1:11" ht="15.6" x14ac:dyDescent="0.3">
      <c r="A115" s="13">
        <v>44719</v>
      </c>
      <c r="B115" s="1" t="s">
        <v>20</v>
      </c>
      <c r="C115" s="3" t="s">
        <v>14</v>
      </c>
      <c r="D115" s="3" t="s">
        <v>24</v>
      </c>
      <c r="E115" s="3" t="s">
        <v>15</v>
      </c>
      <c r="F115" s="4">
        <v>149128.9</v>
      </c>
      <c r="G115" s="9">
        <v>3.2150747E-2</v>
      </c>
      <c r="H115" s="6">
        <f t="shared" si="13"/>
        <v>4794.6055342883001</v>
      </c>
      <c r="I115" s="4">
        <f>1849.6*0.94</f>
        <v>1738.6239999999998</v>
      </c>
      <c r="J115" s="8">
        <f>H115*I115</f>
        <v>8336016.2524464605</v>
      </c>
      <c r="K115" s="23" t="s">
        <v>16</v>
      </c>
    </row>
    <row r="116" spans="1:11" ht="15.6" x14ac:dyDescent="0.3">
      <c r="A116" s="13">
        <v>44740</v>
      </c>
      <c r="B116" s="1" t="s">
        <v>20</v>
      </c>
      <c r="C116" s="3" t="s">
        <v>14</v>
      </c>
      <c r="D116" s="3" t="s">
        <v>24</v>
      </c>
      <c r="E116" s="3" t="s">
        <v>15</v>
      </c>
      <c r="F116" s="4">
        <v>149143.9</v>
      </c>
      <c r="G116" s="9">
        <v>3.2150747E-2</v>
      </c>
      <c r="H116" s="6">
        <f t="shared" si="13"/>
        <v>4795.0877954933003</v>
      </c>
      <c r="I116" s="4">
        <f>1827*0.94</f>
        <v>1717.3799999999999</v>
      </c>
      <c r="J116" s="8">
        <f>H116*I116</f>
        <v>8234987.8782242835</v>
      </c>
      <c r="K116" s="23" t="s">
        <v>16</v>
      </c>
    </row>
    <row r="117" spans="1:11" ht="15.6" x14ac:dyDescent="0.3">
      <c r="A117" s="13">
        <v>44761</v>
      </c>
      <c r="B117" s="1" t="s">
        <v>20</v>
      </c>
      <c r="C117" s="3" t="s">
        <v>14</v>
      </c>
      <c r="D117" s="3" t="s">
        <v>24</v>
      </c>
      <c r="E117" s="3" t="s">
        <v>15</v>
      </c>
      <c r="F117" s="4">
        <v>149100.29999999999</v>
      </c>
      <c r="G117" s="9">
        <v>3.2150747E-2</v>
      </c>
      <c r="H117" s="6">
        <f t="shared" si="13"/>
        <v>4793.6860229240992</v>
      </c>
      <c r="I117" s="4">
        <f>1713.05*0.94</f>
        <v>1610.2669999999998</v>
      </c>
      <c r="J117" s="8">
        <f t="shared" ref="J117:J138" si="14">+H117*I117</f>
        <v>7719114.4110759199</v>
      </c>
      <c r="K117" s="23" t="s">
        <v>16</v>
      </c>
    </row>
    <row r="118" spans="1:11" ht="15.6" x14ac:dyDescent="0.3">
      <c r="A118" s="13">
        <v>44782</v>
      </c>
      <c r="B118" s="1" t="s">
        <v>20</v>
      </c>
      <c r="C118" s="3" t="s">
        <v>14</v>
      </c>
      <c r="D118" s="3" t="s">
        <v>24</v>
      </c>
      <c r="E118" s="3" t="s">
        <v>15</v>
      </c>
      <c r="F118" s="4">
        <v>149126.9</v>
      </c>
      <c r="G118" s="9">
        <v>3.2150747E-2</v>
      </c>
      <c r="H118" s="6">
        <f t="shared" si="13"/>
        <v>4794.5412327942995</v>
      </c>
      <c r="I118" s="4">
        <f>1795.25*0.94</f>
        <v>1687.5349999999999</v>
      </c>
      <c r="J118" s="8">
        <f t="shared" si="14"/>
        <v>8090956.1392835276</v>
      </c>
      <c r="K118" s="23" t="s">
        <v>16</v>
      </c>
    </row>
    <row r="119" spans="1:11" ht="15.6" x14ac:dyDescent="0.3">
      <c r="A119" s="13">
        <v>44806</v>
      </c>
      <c r="B119" s="1" t="s">
        <v>20</v>
      </c>
      <c r="C119" s="3" t="s">
        <v>14</v>
      </c>
      <c r="D119" s="3" t="s">
        <v>24</v>
      </c>
      <c r="E119" s="3" t="s">
        <v>15</v>
      </c>
      <c r="F119" s="4">
        <v>149116.1</v>
      </c>
      <c r="G119" s="9">
        <v>3.2150747E-2</v>
      </c>
      <c r="H119" s="6">
        <f t="shared" si="13"/>
        <v>4794.1940047266999</v>
      </c>
      <c r="I119" s="4">
        <f>1712.5*0.94</f>
        <v>1609.75</v>
      </c>
      <c r="J119" s="8">
        <f t="shared" si="14"/>
        <v>7717453.7991088051</v>
      </c>
      <c r="K119" s="23" t="s">
        <v>16</v>
      </c>
    </row>
    <row r="120" spans="1:11" ht="15.6" x14ac:dyDescent="0.3">
      <c r="A120" s="13">
        <v>44820</v>
      </c>
      <c r="B120" s="1" t="s">
        <v>20</v>
      </c>
      <c r="C120" s="3" t="s">
        <v>14</v>
      </c>
      <c r="D120" s="3" t="s">
        <v>24</v>
      </c>
      <c r="E120" s="3" t="s">
        <v>15</v>
      </c>
      <c r="F120" s="4">
        <v>149121</v>
      </c>
      <c r="G120" s="9">
        <v>3.2150747E-2</v>
      </c>
      <c r="H120" s="6">
        <f t="shared" si="13"/>
        <v>4794.3515433869998</v>
      </c>
      <c r="I120" s="4">
        <f>1664.65*0.94</f>
        <v>1564.771</v>
      </c>
      <c r="J120" s="8">
        <f t="shared" si="14"/>
        <v>7502062.2588972189</v>
      </c>
      <c r="K120" s="23" t="s">
        <v>16</v>
      </c>
    </row>
    <row r="121" spans="1:11" ht="15.6" x14ac:dyDescent="0.3">
      <c r="A121" s="13">
        <v>44838</v>
      </c>
      <c r="B121" s="1" t="s">
        <v>20</v>
      </c>
      <c r="C121" s="3" t="s">
        <v>14</v>
      </c>
      <c r="D121" s="3" t="s">
        <v>24</v>
      </c>
      <c r="E121" s="3" t="s">
        <v>15</v>
      </c>
      <c r="F121" s="4">
        <v>149104.9</v>
      </c>
      <c r="G121" s="9">
        <v>3.2150747E-2</v>
      </c>
      <c r="H121" s="6">
        <f t="shared" si="13"/>
        <v>4793.8339163602996</v>
      </c>
      <c r="I121" s="4">
        <f>0.94*1714.85</f>
        <v>1611.9589999999998</v>
      </c>
      <c r="J121" s="8">
        <f t="shared" si="14"/>
        <v>7727463.7259822311</v>
      </c>
      <c r="K121" s="23" t="s">
        <v>16</v>
      </c>
    </row>
    <row r="122" spans="1:11" ht="15.6" x14ac:dyDescent="0.3">
      <c r="A122" s="13">
        <v>44855</v>
      </c>
      <c r="B122" s="1" t="s">
        <v>20</v>
      </c>
      <c r="C122" s="3" t="s">
        <v>14</v>
      </c>
      <c r="D122" s="3" t="s">
        <v>24</v>
      </c>
      <c r="E122" s="3" t="s">
        <v>15</v>
      </c>
      <c r="F122" s="4">
        <v>149143.29999999999</v>
      </c>
      <c r="G122" s="9">
        <v>3.2150747E-2</v>
      </c>
      <c r="H122" s="6">
        <f t="shared" si="13"/>
        <v>4795.0685050450993</v>
      </c>
      <c r="I122" s="4">
        <f>0.94*1643.25</f>
        <v>1544.655</v>
      </c>
      <c r="J122" s="8">
        <f t="shared" si="14"/>
        <v>7406726.5416604374</v>
      </c>
      <c r="K122" s="23" t="s">
        <v>16</v>
      </c>
    </row>
    <row r="123" spans="1:11" ht="15.6" x14ac:dyDescent="0.3">
      <c r="A123" s="13">
        <v>44876</v>
      </c>
      <c r="B123" s="1" t="s">
        <v>20</v>
      </c>
      <c r="C123" s="3" t="s">
        <v>14</v>
      </c>
      <c r="D123" s="3" t="s">
        <v>24</v>
      </c>
      <c r="E123" s="3" t="s">
        <v>15</v>
      </c>
      <c r="F123" s="4">
        <v>74569.8</v>
      </c>
      <c r="G123" s="9">
        <v>3.2150747E-2</v>
      </c>
      <c r="H123" s="6">
        <f t="shared" si="13"/>
        <v>2397.4747736406002</v>
      </c>
      <c r="I123" s="4">
        <f>1764.75*0.94</f>
        <v>1658.865</v>
      </c>
      <c r="J123" s="8">
        <f t="shared" si="14"/>
        <v>3977086.9903753144</v>
      </c>
      <c r="K123" s="22" t="s">
        <v>16</v>
      </c>
    </row>
    <row r="124" spans="1:11" ht="15.6" x14ac:dyDescent="0.3">
      <c r="A124" s="13">
        <v>44873</v>
      </c>
      <c r="B124" s="1" t="s">
        <v>20</v>
      </c>
      <c r="C124" s="3" t="s">
        <v>14</v>
      </c>
      <c r="D124" s="3" t="s">
        <v>24</v>
      </c>
      <c r="E124" s="3" t="s">
        <v>15</v>
      </c>
      <c r="F124" s="4">
        <v>74583.199999999997</v>
      </c>
      <c r="G124" s="9">
        <v>3.2150747E-2</v>
      </c>
      <c r="H124" s="6">
        <f t="shared" si="13"/>
        <v>2397.9055936504001</v>
      </c>
      <c r="I124" s="4">
        <f>1678.65*0.94</f>
        <v>1577.931</v>
      </c>
      <c r="J124" s="8">
        <f t="shared" si="14"/>
        <v>3783729.5712943696</v>
      </c>
      <c r="K124" s="22" t="s">
        <v>16</v>
      </c>
    </row>
    <row r="125" spans="1:11" ht="15.6" x14ac:dyDescent="0.3">
      <c r="A125" s="13">
        <v>44883</v>
      </c>
      <c r="B125" s="1" t="s">
        <v>20</v>
      </c>
      <c r="C125" s="3" t="s">
        <v>14</v>
      </c>
      <c r="D125" s="3" t="s">
        <v>24</v>
      </c>
      <c r="E125" s="3" t="s">
        <v>15</v>
      </c>
      <c r="F125" s="4">
        <v>74574.399999999994</v>
      </c>
      <c r="G125" s="9">
        <v>3.2150747E-2</v>
      </c>
      <c r="H125" s="6">
        <f t="shared" si="13"/>
        <v>2397.6226670767996</v>
      </c>
      <c r="I125" s="4">
        <f>1764.75*0.94</f>
        <v>1658.865</v>
      </c>
      <c r="J125" s="8">
        <f t="shared" si="14"/>
        <v>3977332.3256203551</v>
      </c>
      <c r="K125" s="22" t="s">
        <v>16</v>
      </c>
    </row>
    <row r="126" spans="1:11" ht="15.6" x14ac:dyDescent="0.3">
      <c r="A126" s="13">
        <v>44880</v>
      </c>
      <c r="B126" s="1" t="s">
        <v>20</v>
      </c>
      <c r="C126" s="3" t="s">
        <v>14</v>
      </c>
      <c r="D126" s="3" t="s">
        <v>24</v>
      </c>
      <c r="E126" s="3" t="s">
        <v>15</v>
      </c>
      <c r="F126" s="4">
        <v>74569.399999999994</v>
      </c>
      <c r="G126" s="9">
        <v>3.2150747E-2</v>
      </c>
      <c r="H126" s="6">
        <f t="shared" si="13"/>
        <v>2397.4619133418</v>
      </c>
      <c r="I126" s="4">
        <f>1775.1*0.94</f>
        <v>1668.5939999999998</v>
      </c>
      <c r="J126" s="8">
        <f t="shared" si="14"/>
        <v>4000390.5638306472</v>
      </c>
      <c r="K126" s="22" t="s">
        <v>16</v>
      </c>
    </row>
    <row r="127" spans="1:11" ht="15.6" x14ac:dyDescent="0.3">
      <c r="A127" s="13">
        <v>44887</v>
      </c>
      <c r="B127" s="1" t="s">
        <v>20</v>
      </c>
      <c r="C127" s="3" t="s">
        <v>14</v>
      </c>
      <c r="D127" s="3" t="s">
        <v>24</v>
      </c>
      <c r="E127" s="3" t="s">
        <v>15</v>
      </c>
      <c r="F127" s="4">
        <v>74571.5</v>
      </c>
      <c r="G127" s="9">
        <v>3.2150747E-2</v>
      </c>
      <c r="H127" s="6">
        <f t="shared" si="13"/>
        <v>2397.5294299104999</v>
      </c>
      <c r="I127" s="4">
        <f>1747*0.94</f>
        <v>1642.1799999999998</v>
      </c>
      <c r="J127" s="8">
        <f t="shared" si="14"/>
        <v>3937174.8792104241</v>
      </c>
      <c r="K127" s="22" t="s">
        <v>16</v>
      </c>
    </row>
    <row r="128" spans="1:11" ht="15.6" x14ac:dyDescent="0.3">
      <c r="A128" s="13">
        <v>44867</v>
      </c>
      <c r="B128" s="1" t="s">
        <v>20</v>
      </c>
      <c r="C128" s="3" t="s">
        <v>14</v>
      </c>
      <c r="D128" s="3" t="s">
        <v>24</v>
      </c>
      <c r="E128" s="3" t="s">
        <v>15</v>
      </c>
      <c r="F128" s="4">
        <v>74563.100000000006</v>
      </c>
      <c r="G128" s="9">
        <v>3.2150747E-2</v>
      </c>
      <c r="H128" s="6">
        <f t="shared" si="13"/>
        <v>2397.2593636357001</v>
      </c>
      <c r="I128" s="4">
        <f>1800.75*0.94</f>
        <v>1692.7049999999999</v>
      </c>
      <c r="J128" s="8">
        <f t="shared" si="14"/>
        <v>4057852.9111229675</v>
      </c>
      <c r="K128" s="22" t="s">
        <v>16</v>
      </c>
    </row>
    <row r="129" spans="1:11" ht="15.6" x14ac:dyDescent="0.3">
      <c r="A129" s="13">
        <v>44904</v>
      </c>
      <c r="B129" s="1" t="s">
        <v>20</v>
      </c>
      <c r="C129" s="3" t="s">
        <v>14</v>
      </c>
      <c r="D129" s="3" t="s">
        <v>24</v>
      </c>
      <c r="E129" s="3" t="s">
        <v>15</v>
      </c>
      <c r="F129" s="4">
        <v>149133.70000000001</v>
      </c>
      <c r="G129" s="9">
        <v>3.2150747E-2</v>
      </c>
      <c r="H129" s="6">
        <f t="shared" si="13"/>
        <v>4794.7598578739007</v>
      </c>
      <c r="I129" s="4">
        <f>1796.15*0.94</f>
        <v>1688.3810000000001</v>
      </c>
      <c r="J129" s="8">
        <f t="shared" si="14"/>
        <v>8095381.4435969945</v>
      </c>
      <c r="K129" s="22" t="s">
        <v>16</v>
      </c>
    </row>
    <row r="130" spans="1:11" ht="16.2" thickBot="1" x14ac:dyDescent="0.35">
      <c r="A130" s="69" t="s">
        <v>32</v>
      </c>
      <c r="B130" s="70"/>
      <c r="C130" s="70"/>
      <c r="D130" s="70"/>
      <c r="E130" s="71"/>
      <c r="F130" s="35">
        <f>SUM(F103:F129)</f>
        <v>3119121.8999999994</v>
      </c>
      <c r="G130" s="35"/>
      <c r="H130" s="35">
        <f t="shared" ref="H130:J130" si="15">SUM(H103:H129)</f>
        <v>100282.10258090129</v>
      </c>
      <c r="I130" s="4"/>
      <c r="J130" s="35">
        <f t="shared" si="15"/>
        <v>170747092.17268395</v>
      </c>
      <c r="K130" s="22"/>
    </row>
    <row r="131" spans="1:11" ht="16.2" thickTop="1" x14ac:dyDescent="0.3">
      <c r="A131" s="13">
        <v>44573</v>
      </c>
      <c r="B131" s="1" t="s">
        <v>22</v>
      </c>
      <c r="C131" s="3" t="s">
        <v>14</v>
      </c>
      <c r="D131" s="3" t="s">
        <v>24</v>
      </c>
      <c r="E131" s="3" t="s">
        <v>10</v>
      </c>
      <c r="F131" s="7">
        <v>68777</v>
      </c>
      <c r="G131" s="5">
        <v>3.2150747E-2</v>
      </c>
      <c r="H131" s="6">
        <f>+F131*G131</f>
        <v>2211.231926419</v>
      </c>
      <c r="I131" s="4">
        <f>1821.4*0.94</f>
        <v>1712.116</v>
      </c>
      <c r="J131" s="8">
        <f t="shared" si="14"/>
        <v>3785885.5609327927</v>
      </c>
      <c r="K131" s="22" t="s">
        <v>16</v>
      </c>
    </row>
    <row r="132" spans="1:11" ht="15.6" x14ac:dyDescent="0.3">
      <c r="A132" s="13">
        <v>44614</v>
      </c>
      <c r="B132" s="1" t="s">
        <v>22</v>
      </c>
      <c r="C132" s="3" t="s">
        <v>14</v>
      </c>
      <c r="D132" s="3" t="s">
        <v>24</v>
      </c>
      <c r="E132" s="3" t="s">
        <v>10</v>
      </c>
      <c r="F132" s="4">
        <v>62293</v>
      </c>
      <c r="G132" s="9">
        <v>3.2150747E-2</v>
      </c>
      <c r="H132" s="6">
        <f>+F132*G132</f>
        <v>2002.7664828710001</v>
      </c>
      <c r="I132" s="4">
        <f>1899.15*0.94</f>
        <v>1785.201</v>
      </c>
      <c r="J132" s="8">
        <f t="shared" si="14"/>
        <v>3575340.7279877923</v>
      </c>
      <c r="K132" s="22" t="s">
        <v>16</v>
      </c>
    </row>
    <row r="133" spans="1:11" ht="15.6" x14ac:dyDescent="0.3">
      <c r="A133" s="13">
        <v>44657</v>
      </c>
      <c r="B133" s="1" t="s">
        <v>22</v>
      </c>
      <c r="C133" s="3" t="s">
        <v>14</v>
      </c>
      <c r="D133" s="3" t="s">
        <v>24</v>
      </c>
      <c r="E133" s="3" t="s">
        <v>10</v>
      </c>
      <c r="F133" s="4">
        <v>63024</v>
      </c>
      <c r="G133" s="9">
        <v>3.2150747E-2</v>
      </c>
      <c r="H133" s="6">
        <f>+F133*G133</f>
        <v>2026.2686789280001</v>
      </c>
      <c r="I133" s="4">
        <f>1930.15*0.94</f>
        <v>1814.3409999999999</v>
      </c>
      <c r="J133" s="8">
        <f t="shared" si="14"/>
        <v>3676342.3411949063</v>
      </c>
      <c r="K133" s="22" t="s">
        <v>16</v>
      </c>
    </row>
    <row r="134" spans="1:11" ht="15.6" x14ac:dyDescent="0.3">
      <c r="A134" s="13">
        <v>44699</v>
      </c>
      <c r="B134" s="1" t="s">
        <v>22</v>
      </c>
      <c r="C134" s="3" t="s">
        <v>14</v>
      </c>
      <c r="D134" s="3" t="s">
        <v>24</v>
      </c>
      <c r="E134" s="3" t="s">
        <v>10</v>
      </c>
      <c r="F134" s="4">
        <v>69861.7</v>
      </c>
      <c r="G134" s="9">
        <v>3.2150747E-2</v>
      </c>
      <c r="H134" s="6">
        <f>F134*G134</f>
        <v>2246.1058416899</v>
      </c>
      <c r="I134" s="4">
        <f>1818.5*0.94</f>
        <v>1709.3899999999999</v>
      </c>
      <c r="J134" s="8">
        <f t="shared" si="14"/>
        <v>3839470.864726298</v>
      </c>
      <c r="K134" s="22" t="s">
        <v>16</v>
      </c>
    </row>
    <row r="135" spans="1:11" ht="15.6" x14ac:dyDescent="0.3">
      <c r="A135" s="13">
        <v>44734</v>
      </c>
      <c r="B135" s="1" t="s">
        <v>22</v>
      </c>
      <c r="C135" s="3" t="s">
        <v>14</v>
      </c>
      <c r="D135" s="3" t="s">
        <v>24</v>
      </c>
      <c r="E135" s="3" t="s">
        <v>10</v>
      </c>
      <c r="F135" s="4">
        <v>56765.99</v>
      </c>
      <c r="G135" s="9">
        <v>3.2150747E-2</v>
      </c>
      <c r="H135" s="6">
        <f t="shared" ref="H135:H162" si="16">+F135*G135</f>
        <v>1825.06898269453</v>
      </c>
      <c r="I135" s="4">
        <f>1841.85*0.94</f>
        <v>1731.3389999999997</v>
      </c>
      <c r="J135" s="8">
        <f t="shared" si="14"/>
        <v>3159813.1074293642</v>
      </c>
      <c r="K135" s="22" t="s">
        <v>16</v>
      </c>
    </row>
    <row r="136" spans="1:11" ht="15.6" x14ac:dyDescent="0.3">
      <c r="A136" s="13">
        <v>44762</v>
      </c>
      <c r="B136" s="1" t="s">
        <v>22</v>
      </c>
      <c r="C136" s="3" t="s">
        <v>14</v>
      </c>
      <c r="D136" s="3" t="s">
        <v>24</v>
      </c>
      <c r="E136" s="3" t="s">
        <v>10</v>
      </c>
      <c r="F136" s="4">
        <v>42395.21</v>
      </c>
      <c r="G136" s="9">
        <v>3.2150747E-2</v>
      </c>
      <c r="H136" s="6">
        <f t="shared" si="16"/>
        <v>1363.03767072187</v>
      </c>
      <c r="I136" s="4">
        <f>1712.65*0.94</f>
        <v>1609.8910000000001</v>
      </c>
      <c r="J136" s="8">
        <f t="shared" si="14"/>
        <v>2194342.0787561019</v>
      </c>
      <c r="K136" s="22" t="s">
        <v>16</v>
      </c>
    </row>
    <row r="137" spans="1:11" ht="15.6" x14ac:dyDescent="0.3">
      <c r="A137" s="13">
        <v>44811</v>
      </c>
      <c r="B137" s="1" t="s">
        <v>22</v>
      </c>
      <c r="C137" s="3" t="s">
        <v>14</v>
      </c>
      <c r="D137" s="3" t="s">
        <v>24</v>
      </c>
      <c r="E137" s="3" t="s">
        <v>10</v>
      </c>
      <c r="F137" s="4">
        <v>72517.88</v>
      </c>
      <c r="G137" s="9">
        <v>3.2150747E-2</v>
      </c>
      <c r="H137" s="6">
        <f t="shared" si="16"/>
        <v>2331.5040128563601</v>
      </c>
      <c r="I137" s="4">
        <f>1720.25*0.94</f>
        <v>1617.0349999999999</v>
      </c>
      <c r="J137" s="8">
        <f t="shared" si="14"/>
        <v>3770123.5914291837</v>
      </c>
      <c r="K137" s="22" t="s">
        <v>16</v>
      </c>
    </row>
    <row r="138" spans="1:11" ht="15.6" x14ac:dyDescent="0.3">
      <c r="A138" s="13">
        <v>44881</v>
      </c>
      <c r="B138" s="1" t="s">
        <v>22</v>
      </c>
      <c r="C138" s="3" t="s">
        <v>14</v>
      </c>
      <c r="D138" s="3" t="s">
        <v>24</v>
      </c>
      <c r="E138" s="3" t="s">
        <v>10</v>
      </c>
      <c r="F138" s="4">
        <v>113843.65</v>
      </c>
      <c r="G138" s="9">
        <v>3.2150747E-2</v>
      </c>
      <c r="H138" s="6">
        <f t="shared" si="16"/>
        <v>3660.1583887065499</v>
      </c>
      <c r="I138" s="4">
        <f>1783.2*0.94</f>
        <v>1676.2079999999999</v>
      </c>
      <c r="J138" s="8">
        <f t="shared" si="14"/>
        <v>6135186.7724170284</v>
      </c>
      <c r="K138" s="22" t="s">
        <v>16</v>
      </c>
    </row>
    <row r="139" spans="1:11" ht="16.2" thickBot="1" x14ac:dyDescent="0.35">
      <c r="A139" s="69" t="s">
        <v>32</v>
      </c>
      <c r="B139" s="70"/>
      <c r="C139" s="70"/>
      <c r="D139" s="70"/>
      <c r="E139" s="71"/>
      <c r="F139" s="35">
        <f>SUM(F131:F138)</f>
        <v>549478.43000000005</v>
      </c>
      <c r="G139" s="35"/>
      <c r="H139" s="35">
        <f>SUM(H131:H138)</f>
        <v>17666.14198488721</v>
      </c>
      <c r="I139" s="34"/>
      <c r="J139" s="35">
        <f>SUM(J131:J138)</f>
        <v>30136505.044873465</v>
      </c>
      <c r="K139" s="22"/>
    </row>
    <row r="140" spans="1:11" ht="16.2" thickTop="1" x14ac:dyDescent="0.3">
      <c r="A140" s="13">
        <v>44578</v>
      </c>
      <c r="B140" s="14" t="s">
        <v>28</v>
      </c>
      <c r="C140" s="15" t="s">
        <v>14</v>
      </c>
      <c r="D140" s="15" t="s">
        <v>24</v>
      </c>
      <c r="E140" s="15" t="s">
        <v>15</v>
      </c>
      <c r="F140" s="7">
        <v>142988</v>
      </c>
      <c r="G140" s="5">
        <v>3.2150747E-2</v>
      </c>
      <c r="H140" s="7">
        <f t="shared" si="16"/>
        <v>4597.1710120360003</v>
      </c>
      <c r="I140" s="4">
        <v>1821</v>
      </c>
      <c r="J140" s="8">
        <f t="shared" ref="J140:J165" si="17">+H140*I140</f>
        <v>8371448.4129175562</v>
      </c>
      <c r="K140" s="30" t="s">
        <v>29</v>
      </c>
    </row>
    <row r="141" spans="1:11" ht="15.6" x14ac:dyDescent="0.3">
      <c r="A141" s="13">
        <v>44585</v>
      </c>
      <c r="B141" s="14" t="s">
        <v>28</v>
      </c>
      <c r="C141" s="15" t="s">
        <v>14</v>
      </c>
      <c r="D141" s="15" t="s">
        <v>24</v>
      </c>
      <c r="E141" s="15" t="s">
        <v>15</v>
      </c>
      <c r="F141" s="4">
        <v>68017</v>
      </c>
      <c r="G141" s="9">
        <v>3.2150747E-2</v>
      </c>
      <c r="H141" s="4">
        <f t="shared" si="16"/>
        <v>2186.7973586990001</v>
      </c>
      <c r="I141" s="4">
        <v>1836</v>
      </c>
      <c r="J141" s="16">
        <f t="shared" si="17"/>
        <v>4014959.9505713643</v>
      </c>
      <c r="K141" s="30" t="s">
        <v>29</v>
      </c>
    </row>
    <row r="142" spans="1:11" ht="15.6" x14ac:dyDescent="0.3">
      <c r="A142" s="13">
        <v>44599</v>
      </c>
      <c r="B142" s="14" t="s">
        <v>28</v>
      </c>
      <c r="C142" s="15" t="s">
        <v>14</v>
      </c>
      <c r="D142" s="15" t="s">
        <v>24</v>
      </c>
      <c r="E142" s="15" t="s">
        <v>15</v>
      </c>
      <c r="F142" s="4">
        <v>120603</v>
      </c>
      <c r="G142" s="9">
        <v>3.2150747E-2</v>
      </c>
      <c r="H142" s="4">
        <f t="shared" si="16"/>
        <v>3877.476540441</v>
      </c>
      <c r="I142" s="4">
        <v>1805</v>
      </c>
      <c r="J142" s="16">
        <f t="shared" si="17"/>
        <v>6998845.155496005</v>
      </c>
      <c r="K142" s="30" t="s">
        <v>29</v>
      </c>
    </row>
    <row r="143" spans="1:11" ht="15.6" x14ac:dyDescent="0.3">
      <c r="A143" s="13">
        <v>44613</v>
      </c>
      <c r="B143" s="14" t="s">
        <v>28</v>
      </c>
      <c r="C143" s="15" t="s">
        <v>14</v>
      </c>
      <c r="D143" s="15" t="s">
        <v>24</v>
      </c>
      <c r="E143" s="15" t="s">
        <v>15</v>
      </c>
      <c r="F143" s="4">
        <v>137416</v>
      </c>
      <c r="G143" s="9">
        <v>3.2150747E-2</v>
      </c>
      <c r="H143" s="4">
        <f t="shared" si="16"/>
        <v>4418.0270497520005</v>
      </c>
      <c r="I143" s="4">
        <v>1906</v>
      </c>
      <c r="J143" s="16">
        <f t="shared" si="17"/>
        <v>8420759.5568273123</v>
      </c>
      <c r="K143" s="30" t="s">
        <v>29</v>
      </c>
    </row>
    <row r="144" spans="1:11" ht="15.6" x14ac:dyDescent="0.3">
      <c r="A144" s="13">
        <v>44620</v>
      </c>
      <c r="B144" s="14" t="s">
        <v>28</v>
      </c>
      <c r="C144" s="15" t="s">
        <v>14</v>
      </c>
      <c r="D144" s="15" t="s">
        <v>24</v>
      </c>
      <c r="E144" s="15" t="s">
        <v>15</v>
      </c>
      <c r="F144" s="4">
        <v>77472</v>
      </c>
      <c r="G144" s="9">
        <v>3.2150747E-2</v>
      </c>
      <c r="H144" s="4">
        <f t="shared" si="16"/>
        <v>2490.7826715840001</v>
      </c>
      <c r="I144" s="4">
        <v>1900</v>
      </c>
      <c r="J144" s="16">
        <f t="shared" si="17"/>
        <v>4732487.0760096004</v>
      </c>
      <c r="K144" s="30" t="s">
        <v>29</v>
      </c>
    </row>
    <row r="145" spans="1:11" ht="15.6" x14ac:dyDescent="0.3">
      <c r="A145" s="13">
        <v>44634</v>
      </c>
      <c r="B145" s="14" t="s">
        <v>28</v>
      </c>
      <c r="C145" s="15" t="s">
        <v>14</v>
      </c>
      <c r="D145" s="15" t="s">
        <v>24</v>
      </c>
      <c r="E145" s="15" t="s">
        <v>15</v>
      </c>
      <c r="F145" s="4">
        <v>85420</v>
      </c>
      <c r="G145" s="9">
        <v>3.2150747E-2</v>
      </c>
      <c r="H145" s="4">
        <f t="shared" si="16"/>
        <v>2746.3168087399999</v>
      </c>
      <c r="I145" s="4">
        <v>1978</v>
      </c>
      <c r="J145" s="16">
        <f t="shared" si="17"/>
        <v>5432214.6476877201</v>
      </c>
      <c r="K145" s="30" t="s">
        <v>29</v>
      </c>
    </row>
    <row r="146" spans="1:11" ht="15.6" x14ac:dyDescent="0.3">
      <c r="A146" s="13">
        <v>44641</v>
      </c>
      <c r="B146" s="14" t="s">
        <v>28</v>
      </c>
      <c r="C146" s="15" t="s">
        <v>14</v>
      </c>
      <c r="D146" s="15" t="s">
        <v>24</v>
      </c>
      <c r="E146" s="15" t="s">
        <v>15</v>
      </c>
      <c r="F146" s="4">
        <v>55181</v>
      </c>
      <c r="G146" s="9">
        <v>3.2150747E-2</v>
      </c>
      <c r="H146" s="4">
        <f t="shared" si="16"/>
        <v>1774.110370207</v>
      </c>
      <c r="I146" s="4">
        <v>1926</v>
      </c>
      <c r="J146" s="16">
        <f t="shared" si="17"/>
        <v>3416936.5730186817</v>
      </c>
      <c r="K146" s="30" t="s">
        <v>29</v>
      </c>
    </row>
    <row r="147" spans="1:11" ht="15.6" x14ac:dyDescent="0.3">
      <c r="A147" s="13">
        <v>44648</v>
      </c>
      <c r="B147" s="14" t="s">
        <v>28</v>
      </c>
      <c r="C147" s="15" t="s">
        <v>14</v>
      </c>
      <c r="D147" s="15" t="s">
        <v>24</v>
      </c>
      <c r="E147" s="15" t="s">
        <v>15</v>
      </c>
      <c r="F147" s="4">
        <v>43791</v>
      </c>
      <c r="G147" s="9">
        <v>3.2150747E-2</v>
      </c>
      <c r="H147" s="4">
        <f t="shared" si="16"/>
        <v>1407.9133618769999</v>
      </c>
      <c r="I147" s="4">
        <v>1945</v>
      </c>
      <c r="J147" s="16">
        <f t="shared" si="17"/>
        <v>2738391.4888507649</v>
      </c>
      <c r="K147" s="30" t="s">
        <v>29</v>
      </c>
    </row>
    <row r="148" spans="1:11" ht="15.6" x14ac:dyDescent="0.3">
      <c r="A148" s="13">
        <v>44655</v>
      </c>
      <c r="B148" s="14" t="s">
        <v>28</v>
      </c>
      <c r="C148" s="15" t="s">
        <v>14</v>
      </c>
      <c r="D148" s="15" t="s">
        <v>24</v>
      </c>
      <c r="E148" s="15" t="s">
        <v>15</v>
      </c>
      <c r="F148" s="4">
        <v>45606</v>
      </c>
      <c r="G148" s="9">
        <v>3.2150747E-2</v>
      </c>
      <c r="H148" s="4">
        <f t="shared" si="16"/>
        <v>1466.2669676820001</v>
      </c>
      <c r="I148" s="4">
        <v>1926</v>
      </c>
      <c r="J148" s="16">
        <f t="shared" si="17"/>
        <v>2824030.1797555322</v>
      </c>
      <c r="K148" s="30" t="s">
        <v>29</v>
      </c>
    </row>
    <row r="149" spans="1:11" ht="15.6" x14ac:dyDescent="0.3">
      <c r="A149" s="13">
        <v>44670</v>
      </c>
      <c r="B149" s="14" t="s">
        <v>28</v>
      </c>
      <c r="C149" s="15" t="s">
        <v>14</v>
      </c>
      <c r="D149" s="15" t="s">
        <v>24</v>
      </c>
      <c r="E149" s="15" t="s">
        <v>15</v>
      </c>
      <c r="F149" s="4">
        <v>153316</v>
      </c>
      <c r="G149" s="9">
        <v>3.2150747E-2</v>
      </c>
      <c r="H149" s="4">
        <f t="shared" si="16"/>
        <v>4929.2239270520004</v>
      </c>
      <c r="I149" s="4">
        <v>1978</v>
      </c>
      <c r="J149" s="16">
        <f t="shared" si="17"/>
        <v>9750004.9277088568</v>
      </c>
      <c r="K149" s="30" t="s">
        <v>29</v>
      </c>
    </row>
    <row r="150" spans="1:11" ht="15.6" x14ac:dyDescent="0.3">
      <c r="A150" s="13">
        <v>44676</v>
      </c>
      <c r="B150" s="14" t="s">
        <v>28</v>
      </c>
      <c r="C150" s="15" t="s">
        <v>14</v>
      </c>
      <c r="D150" s="15" t="s">
        <v>24</v>
      </c>
      <c r="E150" s="15" t="s">
        <v>15</v>
      </c>
      <c r="F150" s="4">
        <v>50719</v>
      </c>
      <c r="G150" s="9">
        <v>3.2150747E-2</v>
      </c>
      <c r="H150" s="4">
        <f t="shared" si="16"/>
        <v>1630.653737093</v>
      </c>
      <c r="I150" s="4">
        <v>1930</v>
      </c>
      <c r="J150" s="16">
        <f t="shared" si="17"/>
        <v>3147161.7125894902</v>
      </c>
      <c r="K150" s="30" t="s">
        <v>29</v>
      </c>
    </row>
    <row r="151" spans="1:11" ht="15.6" x14ac:dyDescent="0.3">
      <c r="A151" s="13">
        <v>44691</v>
      </c>
      <c r="B151" s="14" t="s">
        <v>28</v>
      </c>
      <c r="C151" s="15" t="s">
        <v>14</v>
      </c>
      <c r="D151" s="15" t="s">
        <v>24</v>
      </c>
      <c r="E151" s="15" t="s">
        <v>15</v>
      </c>
      <c r="F151" s="4">
        <v>96371</v>
      </c>
      <c r="G151" s="9">
        <v>3.2150747E-2</v>
      </c>
      <c r="H151" s="4">
        <f t="shared" si="16"/>
        <v>3098.3996391370001</v>
      </c>
      <c r="I151" s="4">
        <v>1878</v>
      </c>
      <c r="J151" s="16">
        <f t="shared" si="17"/>
        <v>5818794.522299286</v>
      </c>
      <c r="K151" s="30" t="s">
        <v>29</v>
      </c>
    </row>
    <row r="152" spans="1:11" ht="15.6" x14ac:dyDescent="0.3">
      <c r="A152" s="13">
        <v>44697</v>
      </c>
      <c r="B152" s="14" t="s">
        <v>28</v>
      </c>
      <c r="C152" s="15" t="s">
        <v>14</v>
      </c>
      <c r="D152" s="15" t="s">
        <v>24</v>
      </c>
      <c r="E152" s="15" t="s">
        <v>15</v>
      </c>
      <c r="F152" s="4">
        <v>84573.2</v>
      </c>
      <c r="G152" s="9">
        <v>3.2150747E-2</v>
      </c>
      <c r="H152" s="4">
        <f t="shared" si="16"/>
        <v>2719.0915561803999</v>
      </c>
      <c r="I152" s="4">
        <v>1811</v>
      </c>
      <c r="J152" s="16">
        <f t="shared" si="17"/>
        <v>4924274.8082427047</v>
      </c>
      <c r="K152" s="30" t="s">
        <v>29</v>
      </c>
    </row>
    <row r="153" spans="1:11" ht="15.6" x14ac:dyDescent="0.3">
      <c r="A153" s="13">
        <v>44704</v>
      </c>
      <c r="B153" s="14" t="s">
        <v>28</v>
      </c>
      <c r="C153" s="15" t="s">
        <v>14</v>
      </c>
      <c r="D153" s="15" t="s">
        <v>24</v>
      </c>
      <c r="E153" s="15" t="s">
        <v>15</v>
      </c>
      <c r="F153" s="4">
        <v>92986.8</v>
      </c>
      <c r="G153" s="9">
        <v>3.2150747E-2</v>
      </c>
      <c r="H153" s="4">
        <f t="shared" si="16"/>
        <v>2989.5950811396001</v>
      </c>
      <c r="I153" s="4">
        <v>1855</v>
      </c>
      <c r="J153" s="16">
        <f t="shared" si="17"/>
        <v>5545698.8755139578</v>
      </c>
      <c r="K153" s="30" t="s">
        <v>29</v>
      </c>
    </row>
    <row r="154" spans="1:11" ht="15.6" x14ac:dyDescent="0.3">
      <c r="A154" s="13">
        <v>44718</v>
      </c>
      <c r="B154" s="14" t="s">
        <v>28</v>
      </c>
      <c r="C154" s="15" t="s">
        <v>14</v>
      </c>
      <c r="D154" s="15" t="s">
        <v>24</v>
      </c>
      <c r="E154" s="15" t="s">
        <v>15</v>
      </c>
      <c r="F154" s="4">
        <v>119481.1</v>
      </c>
      <c r="G154" s="9">
        <v>3.2150747E-2</v>
      </c>
      <c r="H154" s="4">
        <f t="shared" si="16"/>
        <v>3841.4066173817</v>
      </c>
      <c r="I154" s="4">
        <v>1851</v>
      </c>
      <c r="J154" s="16">
        <f t="shared" si="17"/>
        <v>7110443.6487735268</v>
      </c>
      <c r="K154" s="30" t="s">
        <v>29</v>
      </c>
    </row>
    <row r="155" spans="1:11" ht="15.6" x14ac:dyDescent="0.3">
      <c r="A155" s="13">
        <v>44740</v>
      </c>
      <c r="B155" s="14" t="s">
        <v>28</v>
      </c>
      <c r="C155" s="15" t="s">
        <v>14</v>
      </c>
      <c r="D155" s="15" t="s">
        <v>24</v>
      </c>
      <c r="E155" s="15" t="s">
        <v>15</v>
      </c>
      <c r="F155" s="4">
        <v>111948.9</v>
      </c>
      <c r="G155" s="9">
        <v>3.2150747E-2</v>
      </c>
      <c r="H155" s="4">
        <f t="shared" si="16"/>
        <v>3599.2407608282997</v>
      </c>
      <c r="I155" s="4">
        <v>1836</v>
      </c>
      <c r="J155" s="16">
        <f t="shared" si="17"/>
        <v>6608206.0368807586</v>
      </c>
      <c r="K155" s="30" t="s">
        <v>29</v>
      </c>
    </row>
    <row r="156" spans="1:11" ht="15.6" x14ac:dyDescent="0.3">
      <c r="A156" s="13">
        <v>44767</v>
      </c>
      <c r="B156" s="14" t="s">
        <v>28</v>
      </c>
      <c r="C156" s="15" t="s">
        <v>14</v>
      </c>
      <c r="D156" s="15" t="s">
        <v>24</v>
      </c>
      <c r="E156" s="15" t="s">
        <v>15</v>
      </c>
      <c r="F156" s="4">
        <v>165578</v>
      </c>
      <c r="G156" s="9">
        <v>3.2150747E-2</v>
      </c>
      <c r="H156" s="4">
        <f t="shared" si="16"/>
        <v>5323.4563867659999</v>
      </c>
      <c r="I156" s="4">
        <v>1723</v>
      </c>
      <c r="J156" s="16">
        <f t="shared" si="17"/>
        <v>9172315.3543978184</v>
      </c>
      <c r="K156" s="30" t="s">
        <v>29</v>
      </c>
    </row>
    <row r="157" spans="1:11" ht="15.6" x14ac:dyDescent="0.3">
      <c r="A157" s="13">
        <v>44788</v>
      </c>
      <c r="B157" s="14" t="s">
        <v>28</v>
      </c>
      <c r="C157" s="15" t="s">
        <v>14</v>
      </c>
      <c r="D157" s="15" t="s">
        <v>24</v>
      </c>
      <c r="E157" s="15" t="s">
        <v>15</v>
      </c>
      <c r="F157" s="4">
        <v>151898.6</v>
      </c>
      <c r="G157" s="9">
        <v>3.2150747E-2</v>
      </c>
      <c r="H157" s="4">
        <f t="shared" si="16"/>
        <v>4883.6534582541999</v>
      </c>
      <c r="I157" s="4">
        <v>1801</v>
      </c>
      <c r="J157" s="16">
        <f t="shared" si="17"/>
        <v>8795459.8783158138</v>
      </c>
      <c r="K157" s="30" t="s">
        <v>29</v>
      </c>
    </row>
    <row r="158" spans="1:11" ht="15.6" x14ac:dyDescent="0.3">
      <c r="A158" s="13">
        <v>44798</v>
      </c>
      <c r="B158" s="14" t="s">
        <v>28</v>
      </c>
      <c r="C158" s="15" t="s">
        <v>14</v>
      </c>
      <c r="D158" s="15" t="s">
        <v>24</v>
      </c>
      <c r="E158" s="15" t="s">
        <v>15</v>
      </c>
      <c r="F158" s="4">
        <v>108667.5</v>
      </c>
      <c r="G158" s="9">
        <v>3.2150747E-2</v>
      </c>
      <c r="H158" s="4">
        <f t="shared" si="16"/>
        <v>3493.7412996225003</v>
      </c>
      <c r="I158" s="4">
        <v>1762</v>
      </c>
      <c r="J158" s="16">
        <f t="shared" si="17"/>
        <v>6155972.1699348455</v>
      </c>
      <c r="K158" s="30" t="s">
        <v>29</v>
      </c>
    </row>
    <row r="159" spans="1:11" ht="15.6" x14ac:dyDescent="0.3">
      <c r="A159" s="13">
        <v>44823</v>
      </c>
      <c r="B159" s="14" t="s">
        <v>28</v>
      </c>
      <c r="C159" s="15" t="s">
        <v>14</v>
      </c>
      <c r="D159" s="15" t="s">
        <v>24</v>
      </c>
      <c r="E159" s="15" t="s">
        <v>15</v>
      </c>
      <c r="F159" s="4">
        <v>224160.5</v>
      </c>
      <c r="G159" s="9">
        <v>3.2150747E-2</v>
      </c>
      <c r="H159" s="4">
        <f t="shared" si="16"/>
        <v>7206.9275228935003</v>
      </c>
      <c r="I159" s="4">
        <v>1678</v>
      </c>
      <c r="J159" s="16">
        <f t="shared" si="17"/>
        <v>12093224.383415293</v>
      </c>
      <c r="K159" s="30" t="s">
        <v>29</v>
      </c>
    </row>
    <row r="160" spans="1:11" ht="15.6" x14ac:dyDescent="0.3">
      <c r="A160" s="13">
        <v>44830</v>
      </c>
      <c r="B160" s="14" t="s">
        <v>28</v>
      </c>
      <c r="C160" s="15" t="s">
        <v>14</v>
      </c>
      <c r="D160" s="15" t="s">
        <v>24</v>
      </c>
      <c r="E160" s="15" t="s">
        <v>15</v>
      </c>
      <c r="F160" s="4">
        <v>73517.100000000006</v>
      </c>
      <c r="G160" s="9">
        <v>3.2150747E-2</v>
      </c>
      <c r="H160" s="4">
        <f t="shared" si="16"/>
        <v>2363.6296822737004</v>
      </c>
      <c r="I160" s="4">
        <v>1640</v>
      </c>
      <c r="J160" s="16">
        <f t="shared" si="17"/>
        <v>3876352.6789288688</v>
      </c>
      <c r="K160" s="30" t="s">
        <v>29</v>
      </c>
    </row>
    <row r="161" spans="1:11" ht="15.6" x14ac:dyDescent="0.3">
      <c r="A161" s="13">
        <v>44851</v>
      </c>
      <c r="B161" s="14" t="s">
        <v>28</v>
      </c>
      <c r="C161" s="15" t="s">
        <v>14</v>
      </c>
      <c r="D161" s="15" t="s">
        <v>24</v>
      </c>
      <c r="E161" s="15" t="s">
        <v>15</v>
      </c>
      <c r="F161" s="18">
        <v>161360.1</v>
      </c>
      <c r="G161" s="11">
        <v>3.2150747E-2</v>
      </c>
      <c r="H161" s="10">
        <f t="shared" si="16"/>
        <v>5187.8477509947006</v>
      </c>
      <c r="I161" s="4">
        <v>1640</v>
      </c>
      <c r="J161" s="10">
        <f t="shared" si="17"/>
        <v>8508070.3116313089</v>
      </c>
      <c r="K161" s="30" t="s">
        <v>29</v>
      </c>
    </row>
    <row r="162" spans="1:11" ht="15.6" x14ac:dyDescent="0.3">
      <c r="A162" s="13">
        <v>44860</v>
      </c>
      <c r="B162" s="14" t="s">
        <v>28</v>
      </c>
      <c r="C162" s="15" t="s">
        <v>14</v>
      </c>
      <c r="D162" s="15" t="s">
        <v>24</v>
      </c>
      <c r="E162" s="15" t="s">
        <v>15</v>
      </c>
      <c r="F162" s="18">
        <v>103850.2</v>
      </c>
      <c r="G162" s="11">
        <v>3.2150747E-2</v>
      </c>
      <c r="H162" s="10">
        <f t="shared" si="16"/>
        <v>3338.8615060993998</v>
      </c>
      <c r="I162" s="4">
        <v>1640</v>
      </c>
      <c r="J162" s="10">
        <f t="shared" si="17"/>
        <v>5475732.8700030157</v>
      </c>
      <c r="K162" s="30" t="s">
        <v>29</v>
      </c>
    </row>
    <row r="163" spans="1:11" ht="15.6" x14ac:dyDescent="0.3">
      <c r="A163" s="13">
        <v>44872</v>
      </c>
      <c r="B163" s="14" t="s">
        <v>28</v>
      </c>
      <c r="C163" s="15" t="s">
        <v>14</v>
      </c>
      <c r="D163" s="15" t="s">
        <v>24</v>
      </c>
      <c r="E163" s="15" t="s">
        <v>15</v>
      </c>
      <c r="F163" s="17">
        <v>141947.29999999999</v>
      </c>
      <c r="G163" s="11">
        <v>3.2150747E-2</v>
      </c>
      <c r="H163" s="10">
        <f>F163*G163</f>
        <v>4563.7117296330998</v>
      </c>
      <c r="I163" s="10">
        <v>1650</v>
      </c>
      <c r="J163" s="10">
        <f t="shared" si="17"/>
        <v>7530124.3538946146</v>
      </c>
      <c r="K163" s="30" t="s">
        <v>29</v>
      </c>
    </row>
    <row r="164" spans="1:11" ht="15.6" x14ac:dyDescent="0.3">
      <c r="A164" s="13">
        <v>44890</v>
      </c>
      <c r="B164" s="14" t="s">
        <v>28</v>
      </c>
      <c r="C164" s="15" t="s">
        <v>14</v>
      </c>
      <c r="D164" s="15" t="s">
        <v>24</v>
      </c>
      <c r="E164" s="15" t="s">
        <v>15</v>
      </c>
      <c r="F164" s="18">
        <v>191138.1</v>
      </c>
      <c r="G164" s="11">
        <v>3.2150747E-2</v>
      </c>
      <c r="H164" s="10">
        <f>+F164*G164</f>
        <v>6145.2326951607001</v>
      </c>
      <c r="I164" s="4">
        <v>1750</v>
      </c>
      <c r="J164" s="10">
        <f t="shared" si="17"/>
        <v>10754157.216531225</v>
      </c>
      <c r="K164" s="30" t="s">
        <v>29</v>
      </c>
    </row>
    <row r="165" spans="1:11" ht="16.2" thickBot="1" x14ac:dyDescent="0.35">
      <c r="A165" s="24">
        <v>44916</v>
      </c>
      <c r="B165" s="25" t="s">
        <v>28</v>
      </c>
      <c r="C165" s="26" t="s">
        <v>14</v>
      </c>
      <c r="D165" s="26" t="s">
        <v>24</v>
      </c>
      <c r="E165" s="26" t="s">
        <v>15</v>
      </c>
      <c r="F165" s="27">
        <v>277843.3</v>
      </c>
      <c r="G165" s="28">
        <v>3.2150747E-2</v>
      </c>
      <c r="H165" s="29">
        <f>+F165*G165</f>
        <v>8932.8696439450996</v>
      </c>
      <c r="I165" s="29">
        <v>1810</v>
      </c>
      <c r="J165" s="29">
        <f t="shared" si="17"/>
        <v>16168494.055540631</v>
      </c>
      <c r="K165" s="31" t="s">
        <v>29</v>
      </c>
    </row>
    <row r="166" spans="1:11" s="38" customFormat="1" ht="16.2" thickBot="1" x14ac:dyDescent="0.35">
      <c r="A166" s="66" t="s">
        <v>32</v>
      </c>
      <c r="B166" s="67"/>
      <c r="C166" s="67"/>
      <c r="D166" s="67"/>
      <c r="E166" s="68"/>
      <c r="F166" s="43">
        <f>SUM(F140:F165)</f>
        <v>3085850.7</v>
      </c>
      <c r="G166" s="39">
        <f t="shared" ref="G166:J166" si="18">SUM(G140:G165)</f>
        <v>0.83591942199999969</v>
      </c>
      <c r="H166" s="45">
        <f t="shared" si="18"/>
        <v>99212.405135472902</v>
      </c>
      <c r="I166" s="40"/>
      <c r="J166" s="45">
        <f t="shared" si="18"/>
        <v>178384560.84573653</v>
      </c>
      <c r="K166" s="41"/>
    </row>
    <row r="167" spans="1:11" ht="16.2" thickBot="1" x14ac:dyDescent="0.35">
      <c r="A167" s="66" t="s">
        <v>33</v>
      </c>
      <c r="B167" s="67"/>
      <c r="C167" s="67"/>
      <c r="D167" s="67"/>
      <c r="E167" s="68"/>
      <c r="F167" s="44">
        <f>F20+F84+F102+F130+F139+F166</f>
        <v>15020918.319999997</v>
      </c>
      <c r="G167" s="42">
        <f>G20+G84+G102+G130+G139+G166</f>
        <v>0.83591942199999969</v>
      </c>
      <c r="H167" s="46">
        <f>H20+H84+H102+H130+H139+H166</f>
        <v>482933.748125827</v>
      </c>
      <c r="I167" s="42"/>
      <c r="J167" s="46">
        <f>J20+J84+J102+J130+J139+J166</f>
        <v>829813532.85033703</v>
      </c>
      <c r="K167" s="41"/>
    </row>
  </sheetData>
  <sheetProtection sheet="1" objects="1" scenarios="1"/>
  <mergeCells count="18">
    <mergeCell ref="A166:E166"/>
    <mergeCell ref="A167:E167"/>
    <mergeCell ref="A20:E20"/>
    <mergeCell ref="A84:E84"/>
    <mergeCell ref="A102:E102"/>
    <mergeCell ref="A130:E130"/>
    <mergeCell ref="A139:E139"/>
    <mergeCell ref="A1:K1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A2:K2"/>
  </mergeCells>
  <pageMargins left="0.7" right="0.7" top="0.75" bottom="0.75" header="0.3" footer="0.3"/>
  <ignoredErrors>
    <ignoredError sqref="I7:I19 I28:I44 J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Proverbseight   Jones</dc:creator>
  <cp:lastModifiedBy>Melissa  Smith</cp:lastModifiedBy>
  <dcterms:created xsi:type="dcterms:W3CDTF">2025-08-08T17:40:14Z</dcterms:created>
  <dcterms:modified xsi:type="dcterms:W3CDTF">2025-09-22T19:57:50Z</dcterms:modified>
</cp:coreProperties>
</file>