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mith\Desktop\Exports (Updated)\"/>
    </mc:Choice>
  </mc:AlternateContent>
  <xr:revisionPtr revIDLastSave="0" documentId="13_ncr:1_{7983620C-2949-40BA-BBC4-2ADCEF803BBA}" xr6:coauthVersionLast="47" xr6:coauthVersionMax="47" xr10:uidLastSave="{00000000-0000-0000-0000-000000000000}"/>
  <bookViews>
    <workbookView xWindow="28680" yWindow="-120" windowWidth="29040" windowHeight="15720" xr2:uid="{7E0291C7-E6BC-49EE-943C-077188B361F4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5" i="1" l="1"/>
  <c r="H175" i="1"/>
  <c r="H174" i="1"/>
  <c r="F155" i="1" l="1"/>
  <c r="F124" i="1" l="1"/>
  <c r="H103" i="1"/>
  <c r="F103" i="1"/>
  <c r="F139" i="1"/>
  <c r="H154" i="1" l="1"/>
  <c r="H155" i="1" s="1"/>
  <c r="J154" i="1" l="1"/>
  <c r="J155" i="1" s="1"/>
  <c r="F174" i="1"/>
  <c r="H156" i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J156" i="1" l="1"/>
  <c r="J174" i="1" s="1"/>
  <c r="F153" i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 l="1"/>
  <c r="J153" i="1"/>
  <c r="F94" i="1" l="1"/>
  <c r="H5" i="1"/>
  <c r="F21" i="1"/>
  <c r="F175" i="1" s="1"/>
  <c r="H138" i="1" l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H123" i="1"/>
  <c r="J123" i="1" s="1"/>
  <c r="H122" i="1"/>
  <c r="J122" i="1" s="1"/>
  <c r="H121" i="1"/>
  <c r="J121" i="1" s="1"/>
  <c r="H120" i="1"/>
  <c r="J120" i="1" s="1"/>
  <c r="I119" i="1"/>
  <c r="H119" i="1"/>
  <c r="I118" i="1"/>
  <c r="H118" i="1"/>
  <c r="I117" i="1"/>
  <c r="H117" i="1"/>
  <c r="H116" i="1"/>
  <c r="H115" i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2" i="1"/>
  <c r="J101" i="1"/>
  <c r="J100" i="1"/>
  <c r="J99" i="1"/>
  <c r="J98" i="1"/>
  <c r="J97" i="1"/>
  <c r="J96" i="1"/>
  <c r="J95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H63" i="1"/>
  <c r="J63" i="1" s="1"/>
  <c r="H62" i="1"/>
  <c r="J62" i="1" s="1"/>
  <c r="H61" i="1"/>
  <c r="J61" i="1" s="1"/>
  <c r="H60" i="1"/>
  <c r="J60" i="1" s="1"/>
  <c r="H59" i="1"/>
  <c r="J59" i="1" s="1"/>
  <c r="I58" i="1"/>
  <c r="H58" i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H50" i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5" i="1"/>
  <c r="J69" i="1" l="1"/>
  <c r="J79" i="1"/>
  <c r="J89" i="1"/>
  <c r="J116" i="1"/>
  <c r="J125" i="1"/>
  <c r="J139" i="1" s="1"/>
  <c r="H139" i="1"/>
  <c r="J103" i="1"/>
  <c r="J104" i="1"/>
  <c r="H124" i="1"/>
  <c r="J6" i="1"/>
  <c r="H21" i="1"/>
  <c r="J22" i="1"/>
  <c r="H94" i="1"/>
  <c r="J13" i="1"/>
  <c r="J117" i="1"/>
  <c r="J20" i="1"/>
  <c r="J17" i="1"/>
  <c r="J64" i="1"/>
  <c r="J68" i="1"/>
  <c r="J88" i="1"/>
  <c r="J80" i="1"/>
  <c r="J75" i="1"/>
  <c r="J115" i="1"/>
  <c r="J118" i="1"/>
  <c r="J76" i="1"/>
  <c r="J58" i="1"/>
  <c r="J91" i="1"/>
  <c r="J65" i="1"/>
  <c r="J67" i="1"/>
  <c r="J16" i="1"/>
  <c r="J87" i="1"/>
  <c r="J73" i="1"/>
  <c r="J19" i="1"/>
  <c r="J71" i="1"/>
  <c r="J77" i="1"/>
  <c r="J92" i="1"/>
  <c r="J119" i="1"/>
  <c r="J83" i="1"/>
  <c r="J18" i="1"/>
  <c r="J15" i="1"/>
  <c r="J85" i="1"/>
  <c r="J86" i="1"/>
  <c r="J70" i="1"/>
  <c r="J14" i="1"/>
  <c r="J72" i="1"/>
  <c r="J81" i="1"/>
  <c r="J90" i="1"/>
  <c r="J82" i="1"/>
  <c r="J74" i="1"/>
  <c r="J78" i="1"/>
  <c r="J66" i="1"/>
  <c r="J84" i="1"/>
  <c r="J93" i="1"/>
  <c r="J21" i="1" l="1"/>
  <c r="J124" i="1"/>
  <c r="J94" i="1"/>
</calcChain>
</file>

<file path=xl/sharedStrings.xml><?xml version="1.0" encoding="utf-8"?>
<sst xmlns="http://schemas.openxmlformats.org/spreadsheetml/2006/main" count="834" uniqueCount="43">
  <si>
    <t>Date</t>
  </si>
  <si>
    <t>Commodity</t>
  </si>
  <si>
    <t>National/International Classification</t>
  </si>
  <si>
    <t>Operational Location</t>
  </si>
  <si>
    <t>Ounces (oz)</t>
  </si>
  <si>
    <t>USD Price</t>
  </si>
  <si>
    <t xml:space="preserve">USD Value </t>
  </si>
  <si>
    <t>Buyer/Shipped To:</t>
  </si>
  <si>
    <t>Dinar Trading</t>
  </si>
  <si>
    <t>Gold</t>
  </si>
  <si>
    <t xml:space="preserve">Guyana </t>
  </si>
  <si>
    <t>Precious Metals X Change Group Inc. 1890 NW 95 Avenue Doral Florida 33172</t>
  </si>
  <si>
    <t>Precious Metals X Change Group Inc. 1890 NW 95 Avenue Doral Florida 33173</t>
  </si>
  <si>
    <t>Precious Metals X Change Group Inc. 1890 NW 95 Avenue Doral Florida 33174</t>
  </si>
  <si>
    <t>EL Dorado Trading</t>
  </si>
  <si>
    <t>Guyana</t>
  </si>
  <si>
    <t>Shirpur Gold DMCC, 3605 Oaks Liwa Heights Cluster, WJLT, Dubai, UAE</t>
  </si>
  <si>
    <t>Guardian International Gold Corporation, 21 Dundas square, Toronto Ontario, Canada</t>
  </si>
  <si>
    <t>Tracer Alloy to Argor- HERAEUS via Moore 14 CH-6850 Mendirsio Switzerland</t>
  </si>
  <si>
    <t xml:space="preserve">Value Trading,BV Jacob Jacobsstraat 58,2018Antwerp, Belgium </t>
  </si>
  <si>
    <t>Guyana Gold Board</t>
  </si>
  <si>
    <t>Royal Canadian Mint, Ottawa Canada</t>
  </si>
  <si>
    <t>EXPORTS (GOLD) FOR YEAR 2021</t>
  </si>
  <si>
    <t xml:space="preserve">Quantity/ Volume </t>
  </si>
  <si>
    <t>El Dorado Trading</t>
  </si>
  <si>
    <t>International</t>
  </si>
  <si>
    <t>Exporting Entity</t>
  </si>
  <si>
    <t>Grams (g)</t>
  </si>
  <si>
    <t>03/30/2021</t>
  </si>
  <si>
    <t>04/13/2021</t>
  </si>
  <si>
    <t xml:space="preserve">Gold </t>
  </si>
  <si>
    <t>The table below provides details on all gold exported by Guyana Gold Board, Licensed Gold Dealers and Foreign Investors (i.e. Large Scale Miners) for the year 2021.</t>
  </si>
  <si>
    <t>AGM Inc. (Guyana Gold Fields Inc.)</t>
  </si>
  <si>
    <t>Asahi Refining Canada Ltd Lot 130 Glidden Road Brampton, Ontario L6W 3M8</t>
  </si>
  <si>
    <t xml:space="preserve">Techemet Metal Trading LLC 6025 Genoa Red Bluff Rd Pasadena, TX 77507 U.S.A </t>
  </si>
  <si>
    <t>Troy Resources Guyana Inc.</t>
  </si>
  <si>
    <t>Pure Diamond Inc.</t>
  </si>
  <si>
    <t>Mohamed's Enterprise Inc.</t>
  </si>
  <si>
    <t>Shirpur Gold DMCC, 806 SwissTower, JLT, Y Cluster, Dubai, UAE</t>
  </si>
  <si>
    <t>Adolphus Mining Inc.</t>
  </si>
  <si>
    <t>T.L.I. Global FZ-LLC-Unit N 30-01-BA89, Plot N-DMCC, Dubai, United Arab Emirates</t>
  </si>
  <si>
    <t>TOTAL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</si>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</sst>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[$-409]d\-mmm\-yy;@"/>
    <numFmt numFmtId="166" formatCode="_(* #,##0.000000000_);_(* \(#,##0.000000000\);_(* &quot;-&quot;??_);_(@_)"/>
    <numFmt numFmtId="167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43" fontId="4" fillId="0" borderId="1" xfId="1" applyFont="1" applyBorder="1" applyAlignment="1">
      <alignment vertical="center"/>
    </xf>
    <xf numFmtId="166" fontId="4" fillId="0" borderId="1" xfId="1" applyNumberFormat="1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43" fontId="4" fillId="0" borderId="1" xfId="1" applyFont="1" applyBorder="1" applyAlignment="1"/>
    <xf numFmtId="43" fontId="4" fillId="0" borderId="1" xfId="1" applyFont="1" applyFill="1" applyBorder="1" applyAlignment="1"/>
    <xf numFmtId="166" fontId="4" fillId="0" borderId="1" xfId="1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left"/>
    </xf>
    <xf numFmtId="15" fontId="4" fillId="0" borderId="1" xfId="0" applyNumberFormat="1" applyFont="1" applyBorder="1" applyAlignment="1">
      <alignment horizontal="left"/>
    </xf>
    <xf numFmtId="4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3" fontId="5" fillId="0" borderId="1" xfId="1" applyFont="1" applyFill="1" applyBorder="1" applyAlignment="1"/>
    <xf numFmtId="166" fontId="5" fillId="0" borderId="1" xfId="1" applyNumberFormat="1" applyFont="1" applyFill="1" applyBorder="1" applyAlignment="1">
      <alignment horizontal="left"/>
    </xf>
    <xf numFmtId="43" fontId="5" fillId="0" borderId="1" xfId="1" applyFont="1" applyFill="1" applyBorder="1" applyAlignment="1">
      <alignment horizontal="left"/>
    </xf>
    <xf numFmtId="43" fontId="5" fillId="0" borderId="1" xfId="0" applyNumberFormat="1" applyFont="1" applyBorder="1" applyAlignment="1">
      <alignment horizontal="left"/>
    </xf>
    <xf numFmtId="43" fontId="4" fillId="3" borderId="1" xfId="1" applyFont="1" applyFill="1" applyBorder="1" applyAlignment="1">
      <alignment horizontal="left"/>
    </xf>
    <xf numFmtId="167" fontId="4" fillId="0" borderId="1" xfId="1" applyNumberFormat="1" applyFont="1" applyBorder="1" applyAlignment="1">
      <alignment horizontal="left"/>
    </xf>
    <xf numFmtId="43" fontId="4" fillId="0" borderId="1" xfId="1" applyFont="1" applyBorder="1" applyAlignment="1">
      <alignment horizontal="right"/>
    </xf>
    <xf numFmtId="0" fontId="0" fillId="0" borderId="0" xfId="0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5" fontId="4" fillId="0" borderId="1" xfId="0" applyNumberFormat="1" applyFont="1" applyBorder="1" applyAlignment="1">
      <alignment horizontal="center"/>
    </xf>
    <xf numFmtId="167" fontId="4" fillId="0" borderId="4" xfId="1" applyNumberFormat="1" applyFont="1" applyBorder="1" applyAlignment="1">
      <alignment horizontal="center"/>
    </xf>
    <xf numFmtId="166" fontId="4" fillId="0" borderId="4" xfId="1" applyNumberFormat="1" applyFont="1" applyBorder="1"/>
    <xf numFmtId="43" fontId="4" fillId="0" borderId="4" xfId="1" applyFont="1" applyBorder="1"/>
    <xf numFmtId="167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43" fontId="4" fillId="0" borderId="1" xfId="1" applyFont="1" applyBorder="1"/>
    <xf numFmtId="167" fontId="4" fillId="0" borderId="1" xfId="1" applyNumberFormat="1" applyFont="1" applyFill="1" applyBorder="1" applyAlignment="1">
      <alignment horizontal="center"/>
    </xf>
    <xf numFmtId="166" fontId="4" fillId="0" borderId="1" xfId="1" applyNumberFormat="1" applyFont="1" applyFill="1" applyBorder="1"/>
    <xf numFmtId="43" fontId="4" fillId="0" borderId="1" xfId="1" applyFont="1" applyFill="1" applyBorder="1"/>
    <xf numFmtId="167" fontId="4" fillId="0" borderId="1" xfId="1" applyNumberFormat="1" applyFont="1" applyBorder="1"/>
    <xf numFmtId="167" fontId="4" fillId="0" borderId="2" xfId="1" applyNumberFormat="1" applyFont="1" applyFill="1" applyBorder="1" applyAlignment="1">
      <alignment horizontal="center"/>
    </xf>
    <xf numFmtId="43" fontId="4" fillId="0" borderId="2" xfId="1" applyFont="1" applyFill="1" applyBorder="1"/>
    <xf numFmtId="43" fontId="4" fillId="3" borderId="1" xfId="1" applyFont="1" applyFill="1" applyBorder="1"/>
    <xf numFmtId="15" fontId="4" fillId="0" borderId="6" xfId="0" applyNumberFormat="1" applyFont="1" applyBorder="1" applyAlignment="1">
      <alignment horizontal="left"/>
    </xf>
    <xf numFmtId="15" fontId="4" fillId="0" borderId="3" xfId="0" applyNumberFormat="1" applyFont="1" applyBorder="1" applyAlignment="1">
      <alignment horizontal="left"/>
    </xf>
    <xf numFmtId="15" fontId="4" fillId="0" borderId="3" xfId="0" applyNumberFormat="1" applyFont="1" applyBorder="1" applyAlignment="1">
      <alignment horizontal="center"/>
    </xf>
    <xf numFmtId="15" fontId="4" fillId="0" borderId="8" xfId="0" applyNumberFormat="1" applyFont="1" applyBorder="1" applyAlignment="1">
      <alignment horizontal="left"/>
    </xf>
    <xf numFmtId="16" fontId="4" fillId="0" borderId="8" xfId="0" applyNumberFormat="1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15" fontId="4" fillId="0" borderId="5" xfId="0" applyNumberFormat="1" applyFont="1" applyBorder="1" applyAlignment="1">
      <alignment horizontal="center"/>
    </xf>
    <xf numFmtId="15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5" fontId="4" fillId="0" borderId="8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165" fontId="5" fillId="0" borderId="8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9" xfId="0" applyFont="1" applyBorder="1"/>
    <xf numFmtId="0" fontId="4" fillId="0" borderId="7" xfId="0" applyFont="1" applyBorder="1" applyAlignment="1">
      <alignment horizontal="left" wrapText="1"/>
    </xf>
    <xf numFmtId="0" fontId="4" fillId="0" borderId="9" xfId="0" applyFont="1" applyBorder="1" applyAlignment="1">
      <alignment vertical="center" wrapText="1"/>
    </xf>
    <xf numFmtId="15" fontId="4" fillId="0" borderId="12" xfId="0" applyNumberFormat="1" applyFont="1" applyBorder="1" applyAlignment="1">
      <alignment horizontal="left"/>
    </xf>
    <xf numFmtId="15" fontId="4" fillId="0" borderId="13" xfId="0" applyNumberFormat="1" applyFont="1" applyBorder="1" applyAlignment="1">
      <alignment horizontal="left"/>
    </xf>
    <xf numFmtId="15" fontId="4" fillId="0" borderId="13" xfId="0" applyNumberFormat="1" applyFont="1" applyBorder="1" applyAlignment="1">
      <alignment horizontal="center"/>
    </xf>
    <xf numFmtId="167" fontId="4" fillId="0" borderId="14" xfId="1" applyNumberFormat="1" applyFont="1" applyBorder="1" applyAlignment="1">
      <alignment horizontal="center"/>
    </xf>
    <xf numFmtId="166" fontId="4" fillId="0" borderId="14" xfId="1" applyNumberFormat="1" applyFont="1" applyBorder="1" applyAlignment="1">
      <alignment horizontal="center"/>
    </xf>
    <xf numFmtId="43" fontId="4" fillId="0" borderId="14" xfId="1" applyFont="1" applyBorder="1" applyAlignment="1">
      <alignment horizontal="center"/>
    </xf>
    <xf numFmtId="43" fontId="4" fillId="3" borderId="14" xfId="1" applyFont="1" applyFill="1" applyBorder="1" applyAlignment="1">
      <alignment horizontal="center"/>
    </xf>
    <xf numFmtId="0" fontId="4" fillId="0" borderId="15" xfId="0" applyFont="1" applyBorder="1" applyAlignment="1">
      <alignment vertical="center" wrapText="1"/>
    </xf>
    <xf numFmtId="43" fontId="4" fillId="0" borderId="4" xfId="1" applyFont="1" applyBorder="1" applyAlignment="1">
      <alignment horizontal="right"/>
    </xf>
    <xf numFmtId="166" fontId="4" fillId="0" borderId="4" xfId="1" applyNumberFormat="1" applyFont="1" applyBorder="1" applyAlignment="1">
      <alignment horizontal="left"/>
    </xf>
    <xf numFmtId="43" fontId="4" fillId="0" borderId="4" xfId="1" applyFont="1" applyBorder="1" applyAlignment="1">
      <alignment horizontal="left"/>
    </xf>
    <xf numFmtId="43" fontId="4" fillId="0" borderId="4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/>
    <xf numFmtId="165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65" fontId="4" fillId="0" borderId="14" xfId="0" applyNumberFormat="1" applyFont="1" applyBorder="1" applyAlignment="1">
      <alignment horizontal="left" vertical="center"/>
    </xf>
    <xf numFmtId="165" fontId="4" fillId="0" borderId="14" xfId="0" applyNumberFormat="1" applyFont="1" applyBorder="1" applyAlignment="1">
      <alignment horizontal="center" vertical="center"/>
    </xf>
    <xf numFmtId="43" fontId="4" fillId="0" borderId="14" xfId="1" applyFont="1" applyBorder="1" applyAlignment="1"/>
    <xf numFmtId="166" fontId="4" fillId="0" borderId="14" xfId="1" applyNumberFormat="1" applyFont="1" applyBorder="1" applyAlignment="1">
      <alignment horizontal="left"/>
    </xf>
    <xf numFmtId="43" fontId="4" fillId="0" borderId="14" xfId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43" fontId="4" fillId="0" borderId="4" xfId="1" applyFont="1" applyBorder="1" applyAlignment="1">
      <alignment vertical="center"/>
    </xf>
    <xf numFmtId="43" fontId="7" fillId="0" borderId="24" xfId="1" applyFont="1" applyBorder="1" applyAlignment="1"/>
    <xf numFmtId="166" fontId="7" fillId="0" borderId="24" xfId="1" applyNumberFormat="1" applyFont="1" applyBorder="1" applyAlignment="1">
      <alignment horizontal="left"/>
    </xf>
    <xf numFmtId="43" fontId="7" fillId="0" borderId="24" xfId="1" applyFont="1" applyBorder="1" applyAlignment="1">
      <alignment horizontal="left"/>
    </xf>
    <xf numFmtId="43" fontId="4" fillId="0" borderId="24" xfId="1" applyFont="1" applyBorder="1" applyAlignment="1">
      <alignment horizontal="left"/>
    </xf>
    <xf numFmtId="165" fontId="4" fillId="0" borderId="12" xfId="0" applyNumberFormat="1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167" fontId="4" fillId="0" borderId="14" xfId="1" applyNumberFormat="1" applyFont="1" applyBorder="1" applyAlignment="1">
      <alignment horizontal="left"/>
    </xf>
    <xf numFmtId="43" fontId="4" fillId="0" borderId="14" xfId="1" applyFont="1" applyFill="1" applyBorder="1" applyAlignment="1">
      <alignment horizontal="left"/>
    </xf>
    <xf numFmtId="43" fontId="4" fillId="0" borderId="14" xfId="0" applyNumberFormat="1" applyFont="1" applyBorder="1" applyAlignment="1">
      <alignment horizontal="left"/>
    </xf>
    <xf numFmtId="15" fontId="4" fillId="0" borderId="4" xfId="0" applyNumberFormat="1" applyFont="1" applyBorder="1" applyAlignment="1">
      <alignment horizontal="left"/>
    </xf>
    <xf numFmtId="15" fontId="4" fillId="0" borderId="4" xfId="0" applyNumberFormat="1" applyFont="1" applyBorder="1" applyAlignment="1">
      <alignment horizontal="center"/>
    </xf>
    <xf numFmtId="43" fontId="4" fillId="0" borderId="4" xfId="1" applyFont="1" applyBorder="1" applyAlignment="1">
      <alignment horizontal="left" vertical="center"/>
    </xf>
    <xf numFmtId="167" fontId="7" fillId="0" borderId="24" xfId="1" applyNumberFormat="1" applyFont="1" applyBorder="1" applyAlignment="1">
      <alignment horizontal="left"/>
    </xf>
    <xf numFmtId="43" fontId="7" fillId="0" borderId="24" xfId="1" applyFont="1" applyFill="1" applyBorder="1" applyAlignment="1">
      <alignment horizontal="left"/>
    </xf>
    <xf numFmtId="43" fontId="7" fillId="0" borderId="24" xfId="0" applyNumberFormat="1" applyFont="1" applyBorder="1" applyAlignment="1">
      <alignment horizontal="left"/>
    </xf>
    <xf numFmtId="15" fontId="4" fillId="0" borderId="14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 vertical="center"/>
    </xf>
    <xf numFmtId="15" fontId="4" fillId="0" borderId="14" xfId="0" applyNumberFormat="1" applyFont="1" applyBorder="1" applyAlignment="1">
      <alignment horizontal="center"/>
    </xf>
    <xf numFmtId="43" fontId="4" fillId="0" borderId="14" xfId="1" applyFont="1" applyBorder="1" applyAlignment="1">
      <alignment horizontal="right"/>
    </xf>
    <xf numFmtId="43" fontId="7" fillId="0" borderId="24" xfId="1" applyFont="1" applyBorder="1" applyAlignment="1">
      <alignment horizontal="right"/>
    </xf>
    <xf numFmtId="15" fontId="4" fillId="0" borderId="25" xfId="0" applyNumberFormat="1" applyFont="1" applyBorder="1" applyAlignment="1">
      <alignment horizontal="left"/>
    </xf>
    <xf numFmtId="15" fontId="4" fillId="0" borderId="25" xfId="0" applyNumberFormat="1" applyFont="1" applyBorder="1" applyAlignment="1">
      <alignment horizontal="center"/>
    </xf>
    <xf numFmtId="166" fontId="4" fillId="0" borderId="14" xfId="1" applyNumberFormat="1" applyFont="1" applyBorder="1"/>
    <xf numFmtId="43" fontId="4" fillId="0" borderId="14" xfId="1" applyFont="1" applyBorder="1"/>
    <xf numFmtId="166" fontId="4" fillId="0" borderId="4" xfId="1" applyNumberFormat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167" fontId="7" fillId="0" borderId="24" xfId="1" applyNumberFormat="1" applyFont="1" applyBorder="1" applyAlignment="1">
      <alignment horizontal="center"/>
    </xf>
    <xf numFmtId="166" fontId="7" fillId="0" borderId="24" xfId="1" applyNumberFormat="1" applyFont="1" applyBorder="1"/>
    <xf numFmtId="43" fontId="7" fillId="0" borderId="24" xfId="1" applyFont="1" applyBorder="1"/>
    <xf numFmtId="165" fontId="4" fillId="0" borderId="4" xfId="0" applyNumberFormat="1" applyFont="1" applyBorder="1" applyAlignment="1">
      <alignment horizontal="left"/>
    </xf>
    <xf numFmtId="167" fontId="4" fillId="0" borderId="4" xfId="1" applyNumberFormat="1" applyFont="1" applyBorder="1"/>
    <xf numFmtId="43" fontId="4" fillId="0" borderId="4" xfId="1" applyFont="1" applyFill="1" applyBorder="1" applyAlignment="1">
      <alignment horizontal="left"/>
    </xf>
    <xf numFmtId="167" fontId="8" fillId="0" borderId="23" xfId="0" applyNumberFormat="1" applyFont="1" applyBorder="1"/>
    <xf numFmtId="0" fontId="0" fillId="0" borderId="23" xfId="0" applyBorder="1"/>
    <xf numFmtId="43" fontId="8" fillId="0" borderId="23" xfId="0" applyNumberFormat="1" applyFont="1" applyBorder="1"/>
    <xf numFmtId="165" fontId="4" fillId="0" borderId="14" xfId="0" applyNumberFormat="1" applyFont="1" applyBorder="1" applyAlignment="1">
      <alignment horizontal="left"/>
    </xf>
    <xf numFmtId="167" fontId="4" fillId="0" borderId="14" xfId="1" applyNumberFormat="1" applyFont="1" applyBorder="1"/>
    <xf numFmtId="43" fontId="4" fillId="0" borderId="14" xfId="1" applyFont="1" applyFill="1" applyBorder="1"/>
    <xf numFmtId="167" fontId="7" fillId="0" borderId="23" xfId="0" applyNumberFormat="1" applyFont="1" applyBorder="1"/>
    <xf numFmtId="0" fontId="4" fillId="0" borderId="23" xfId="0" applyFont="1" applyBorder="1"/>
    <xf numFmtId="43" fontId="7" fillId="0" borderId="23" xfId="0" applyNumberFormat="1" applyFont="1" applyBorder="1"/>
    <xf numFmtId="0" fontId="4" fillId="0" borderId="14" xfId="0" applyFont="1" applyBorder="1"/>
    <xf numFmtId="0" fontId="7" fillId="0" borderId="23" xfId="0" applyFont="1" applyBorder="1"/>
    <xf numFmtId="167" fontId="9" fillId="0" borderId="26" xfId="0" applyNumberFormat="1" applyFont="1" applyBorder="1"/>
    <xf numFmtId="0" fontId="9" fillId="0" borderId="26" xfId="0" applyFont="1" applyBorder="1"/>
    <xf numFmtId="43" fontId="9" fillId="0" borderId="26" xfId="0" applyNumberFormat="1" applyFont="1" applyBorder="1"/>
    <xf numFmtId="15" fontId="4" fillId="0" borderId="24" xfId="0" applyNumberFormat="1" applyFont="1" applyBorder="1" applyAlignment="1">
      <alignment horizontal="left"/>
    </xf>
    <xf numFmtId="0" fontId="4" fillId="0" borderId="24" xfId="0" applyFont="1" applyBorder="1"/>
    <xf numFmtId="165" fontId="4" fillId="0" borderId="24" xfId="0" applyNumberFormat="1" applyFont="1" applyBorder="1" applyAlignment="1">
      <alignment horizontal="center" vertical="center"/>
    </xf>
    <xf numFmtId="167" fontId="4" fillId="0" borderId="24" xfId="1" applyNumberFormat="1" applyFont="1" applyBorder="1"/>
    <xf numFmtId="166" fontId="4" fillId="0" borderId="24" xfId="1" applyNumberFormat="1" applyFont="1" applyBorder="1" applyAlignment="1">
      <alignment horizontal="left"/>
    </xf>
    <xf numFmtId="43" fontId="4" fillId="0" borderId="24" xfId="1" applyFont="1" applyFill="1" applyBorder="1" applyAlignment="1">
      <alignment horizontal="left"/>
    </xf>
    <xf numFmtId="43" fontId="4" fillId="0" borderId="24" xfId="1" applyFont="1" applyBorder="1"/>
    <xf numFmtId="43" fontId="4" fillId="0" borderId="24" xfId="0" applyNumberFormat="1" applyFont="1" applyBorder="1" applyAlignment="1">
      <alignment horizontal="left"/>
    </xf>
    <xf numFmtId="164" fontId="9" fillId="0" borderId="27" xfId="0" applyNumberFormat="1" applyFont="1" applyBorder="1"/>
    <xf numFmtId="0" fontId="9" fillId="0" borderId="27" xfId="0" applyFont="1" applyBorder="1"/>
    <xf numFmtId="43" fontId="7" fillId="0" borderId="24" xfId="1" applyFont="1" applyFill="1" applyBorder="1"/>
    <xf numFmtId="43" fontId="10" fillId="0" borderId="1" xfId="1" applyFont="1" applyFill="1" applyBorder="1"/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E31E-7797-4062-AD04-0E311BD8F1DC}">
  <dimension ref="A1:K175"/>
  <sheetViews>
    <sheetView tabSelected="1" topLeftCell="A82" zoomScale="90" zoomScaleNormal="90" workbookViewId="0">
      <selection activeCell="K103" sqref="K103"/>
    </sheetView>
  </sheetViews>
  <sheetFormatPr defaultRowHeight="14.4" x14ac:dyDescent="0.3"/>
  <cols>
    <col min="1" max="1" width="16.109375" customWidth="1"/>
    <col min="2" max="2" width="28.88671875" customWidth="1"/>
    <col min="3" max="3" width="11.6640625" style="26" bestFit="1" customWidth="1"/>
    <col min="4" max="4" width="35.109375" style="26" bestFit="1" customWidth="1"/>
    <col min="5" max="5" width="21" style="26" bestFit="1" customWidth="1"/>
    <col min="6" max="6" width="15.6640625" bestFit="1" customWidth="1"/>
    <col min="7" max="7" width="14.5546875" hidden="1" customWidth="1"/>
    <col min="8" max="8" width="13.88671875" bestFit="1" customWidth="1"/>
    <col min="9" max="9" width="12.88671875" bestFit="1" customWidth="1"/>
    <col min="10" max="10" width="17.109375" customWidth="1"/>
    <col min="11" max="11" width="80" customWidth="1"/>
  </cols>
  <sheetData>
    <row r="1" spans="1:11" s="22" customFormat="1" ht="52.95" customHeight="1" thickBot="1" x14ac:dyDescent="0.35">
      <c r="A1" s="149" t="s">
        <v>22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1" s="22" customFormat="1" ht="52.95" customHeight="1" thickBot="1" x14ac:dyDescent="0.35">
      <c r="A2" s="167" t="s">
        <v>31</v>
      </c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s="22" customFormat="1" ht="28.2" customHeight="1" x14ac:dyDescent="0.3">
      <c r="A3" s="152" t="s">
        <v>0</v>
      </c>
      <c r="B3" s="154" t="s">
        <v>26</v>
      </c>
      <c r="C3" s="154" t="s">
        <v>1</v>
      </c>
      <c r="D3" s="156" t="s">
        <v>2</v>
      </c>
      <c r="E3" s="156" t="s">
        <v>3</v>
      </c>
      <c r="F3" s="158" t="s">
        <v>23</v>
      </c>
      <c r="G3" s="159"/>
      <c r="H3" s="160"/>
      <c r="I3" s="161" t="s">
        <v>5</v>
      </c>
      <c r="J3" s="163" t="s">
        <v>6</v>
      </c>
      <c r="K3" s="165" t="s">
        <v>7</v>
      </c>
    </row>
    <row r="4" spans="1:11" ht="29.4" customHeight="1" x14ac:dyDescent="0.3">
      <c r="A4" s="153"/>
      <c r="B4" s="155"/>
      <c r="C4" s="155"/>
      <c r="D4" s="157"/>
      <c r="E4" s="157"/>
      <c r="F4" s="1" t="s">
        <v>27</v>
      </c>
      <c r="G4" s="2"/>
      <c r="H4" s="1" t="s">
        <v>4</v>
      </c>
      <c r="I4" s="162"/>
      <c r="J4" s="164"/>
      <c r="K4" s="166"/>
    </row>
    <row r="5" spans="1:11" ht="15.6" x14ac:dyDescent="0.3">
      <c r="A5" s="50">
        <v>44201</v>
      </c>
      <c r="B5" s="3" t="s">
        <v>8</v>
      </c>
      <c r="C5" s="23" t="s">
        <v>9</v>
      </c>
      <c r="D5" s="23" t="s">
        <v>25</v>
      </c>
      <c r="E5" s="23" t="s">
        <v>10</v>
      </c>
      <c r="F5" s="4">
        <v>25567</v>
      </c>
      <c r="G5" s="5">
        <v>3.2150747E-2</v>
      </c>
      <c r="H5" s="6">
        <f>+F5*G5</f>
        <v>821.99814854900001</v>
      </c>
      <c r="I5" s="6">
        <v>1829.7570000000001</v>
      </c>
      <c r="J5" s="6">
        <f t="shared" ref="J5:J27" si="0">+H5*I5</f>
        <v>1504056.8662945726</v>
      </c>
      <c r="K5" s="51" t="s">
        <v>11</v>
      </c>
    </row>
    <row r="6" spans="1:11" ht="15.6" x14ac:dyDescent="0.3">
      <c r="A6" s="52">
        <v>44229</v>
      </c>
      <c r="B6" s="3" t="s">
        <v>8</v>
      </c>
      <c r="C6" s="23" t="s">
        <v>9</v>
      </c>
      <c r="D6" s="23" t="s">
        <v>25</v>
      </c>
      <c r="E6" s="23" t="s">
        <v>10</v>
      </c>
      <c r="F6" s="8">
        <v>25815</v>
      </c>
      <c r="G6" s="5">
        <v>3.2150747E-2</v>
      </c>
      <c r="H6" s="6">
        <f t="shared" ref="H6:H20" si="1">+F6*G6</f>
        <v>829.97153380500004</v>
      </c>
      <c r="I6" s="6">
        <v>1736.2739999999999</v>
      </c>
      <c r="J6" s="6">
        <f t="shared" si="0"/>
        <v>1441057.9948857424</v>
      </c>
      <c r="K6" s="51" t="s">
        <v>12</v>
      </c>
    </row>
    <row r="7" spans="1:11" ht="15.6" x14ac:dyDescent="0.3">
      <c r="A7" s="52">
        <v>44256</v>
      </c>
      <c r="B7" s="3" t="s">
        <v>8</v>
      </c>
      <c r="C7" s="23" t="s">
        <v>9</v>
      </c>
      <c r="D7" s="23" t="s">
        <v>25</v>
      </c>
      <c r="E7" s="23" t="s">
        <v>10</v>
      </c>
      <c r="F7" s="9">
        <v>26127</v>
      </c>
      <c r="G7" s="10">
        <v>3.2150747E-2</v>
      </c>
      <c r="H7" s="6">
        <f t="shared" si="1"/>
        <v>840.00256686900002</v>
      </c>
      <c r="I7" s="11">
        <v>1642.133</v>
      </c>
      <c r="J7" s="11">
        <f t="shared" si="0"/>
        <v>1379395.9351402917</v>
      </c>
      <c r="K7" s="51" t="s">
        <v>12</v>
      </c>
    </row>
    <row r="8" spans="1:11" ht="15.6" x14ac:dyDescent="0.3">
      <c r="A8" s="52">
        <v>44270</v>
      </c>
      <c r="B8" s="3" t="s">
        <v>8</v>
      </c>
      <c r="C8" s="23" t="s">
        <v>9</v>
      </c>
      <c r="D8" s="23" t="s">
        <v>25</v>
      </c>
      <c r="E8" s="23" t="s">
        <v>10</v>
      </c>
      <c r="F8" s="8">
        <v>26126</v>
      </c>
      <c r="G8" s="5">
        <v>3.2150747E-2</v>
      </c>
      <c r="H8" s="6">
        <f t="shared" si="1"/>
        <v>839.97041612199996</v>
      </c>
      <c r="I8" s="6">
        <v>1624.2259999999999</v>
      </c>
      <c r="J8" s="6">
        <f t="shared" si="0"/>
        <v>1364301.7890961715</v>
      </c>
      <c r="K8" s="51" t="s">
        <v>12</v>
      </c>
    </row>
    <row r="9" spans="1:11" ht="15.6" x14ac:dyDescent="0.3">
      <c r="A9" s="52">
        <v>44295</v>
      </c>
      <c r="B9" s="3" t="s">
        <v>8</v>
      </c>
      <c r="C9" s="23" t="s">
        <v>9</v>
      </c>
      <c r="D9" s="23" t="s">
        <v>25</v>
      </c>
      <c r="E9" s="23" t="s">
        <v>10</v>
      </c>
      <c r="F9" s="8">
        <v>25971</v>
      </c>
      <c r="G9" s="5">
        <v>3.2150747E-2</v>
      </c>
      <c r="H9" s="6">
        <f t="shared" si="1"/>
        <v>834.98705033700003</v>
      </c>
      <c r="I9" s="6">
        <v>1643.0729999999999</v>
      </c>
      <c r="J9" s="6">
        <f t="shared" si="0"/>
        <v>1371944.6777583656</v>
      </c>
      <c r="K9" s="51" t="s">
        <v>12</v>
      </c>
    </row>
    <row r="10" spans="1:11" ht="15.6" x14ac:dyDescent="0.3">
      <c r="A10" s="44">
        <v>44327</v>
      </c>
      <c r="B10" s="3" t="s">
        <v>8</v>
      </c>
      <c r="C10" s="23" t="s">
        <v>9</v>
      </c>
      <c r="D10" s="23" t="s">
        <v>25</v>
      </c>
      <c r="E10" s="23" t="s">
        <v>10</v>
      </c>
      <c r="F10" s="8">
        <v>26188</v>
      </c>
      <c r="G10" s="5">
        <v>3.2150747E-2</v>
      </c>
      <c r="H10" s="6">
        <f t="shared" si="1"/>
        <v>841.96376243600002</v>
      </c>
      <c r="I10" s="6">
        <v>1837.15</v>
      </c>
      <c r="J10" s="6">
        <f t="shared" si="0"/>
        <v>1546813.7261592976</v>
      </c>
      <c r="K10" s="51" t="s">
        <v>12</v>
      </c>
    </row>
    <row r="11" spans="1:11" ht="15.6" x14ac:dyDescent="0.3">
      <c r="A11" s="44">
        <v>44349</v>
      </c>
      <c r="B11" s="3" t="s">
        <v>8</v>
      </c>
      <c r="C11" s="23" t="s">
        <v>9</v>
      </c>
      <c r="D11" s="23" t="s">
        <v>25</v>
      </c>
      <c r="E11" s="23" t="s">
        <v>10</v>
      </c>
      <c r="F11" s="8">
        <v>26251</v>
      </c>
      <c r="G11" s="5">
        <v>3.2150747E-2</v>
      </c>
      <c r="H11" s="6">
        <f t="shared" si="1"/>
        <v>843.98925949700003</v>
      </c>
      <c r="I11" s="6">
        <v>1788.585</v>
      </c>
      <c r="J11" s="6">
        <f t="shared" si="0"/>
        <v>1509546.5296974417</v>
      </c>
      <c r="K11" s="51" t="s">
        <v>12</v>
      </c>
    </row>
    <row r="12" spans="1:11" ht="15.6" x14ac:dyDescent="0.3">
      <c r="A12" s="44">
        <v>44372</v>
      </c>
      <c r="B12" s="3" t="s">
        <v>8</v>
      </c>
      <c r="C12" s="23" t="s">
        <v>9</v>
      </c>
      <c r="D12" s="23" t="s">
        <v>25</v>
      </c>
      <c r="E12" s="23" t="s">
        <v>10</v>
      </c>
      <c r="F12" s="8">
        <v>25690</v>
      </c>
      <c r="G12" s="5">
        <v>3.2150747E-2</v>
      </c>
      <c r="H12" s="6">
        <f t="shared" si="1"/>
        <v>825.95269042999996</v>
      </c>
      <c r="I12" s="6">
        <v>1679.451</v>
      </c>
      <c r="J12" s="6">
        <f t="shared" si="0"/>
        <v>1387147.071895354</v>
      </c>
      <c r="K12" s="51" t="s">
        <v>13</v>
      </c>
    </row>
    <row r="13" spans="1:11" ht="15.6" x14ac:dyDescent="0.3">
      <c r="A13" s="44">
        <v>44403</v>
      </c>
      <c r="B13" s="3" t="s">
        <v>8</v>
      </c>
      <c r="C13" s="23" t="s">
        <v>9</v>
      </c>
      <c r="D13" s="23" t="s">
        <v>25</v>
      </c>
      <c r="E13" s="23" t="s">
        <v>10</v>
      </c>
      <c r="F13" s="8">
        <v>26189</v>
      </c>
      <c r="G13" s="5">
        <v>3.2150747E-2</v>
      </c>
      <c r="H13" s="6">
        <f t="shared" si="1"/>
        <v>841.99591318299997</v>
      </c>
      <c r="I13" s="11">
        <f>1808.15*0.94</f>
        <v>1699.6610000000001</v>
      </c>
      <c r="J13" s="6">
        <f t="shared" si="0"/>
        <v>1431107.6157965309</v>
      </c>
      <c r="K13" s="51" t="s">
        <v>13</v>
      </c>
    </row>
    <row r="14" spans="1:11" ht="15.6" x14ac:dyDescent="0.3">
      <c r="A14" s="44">
        <v>44417</v>
      </c>
      <c r="B14" s="3" t="s">
        <v>8</v>
      </c>
      <c r="C14" s="23" t="s">
        <v>9</v>
      </c>
      <c r="D14" s="23" t="s">
        <v>25</v>
      </c>
      <c r="E14" s="23" t="s">
        <v>10</v>
      </c>
      <c r="F14" s="8">
        <v>25504</v>
      </c>
      <c r="G14" s="5">
        <v>3.2150747E-2</v>
      </c>
      <c r="H14" s="6">
        <f t="shared" si="1"/>
        <v>819.972651488</v>
      </c>
      <c r="I14" s="6">
        <f>1741.5*0.94</f>
        <v>1637.01</v>
      </c>
      <c r="J14" s="6">
        <f t="shared" si="0"/>
        <v>1342303.4302123708</v>
      </c>
      <c r="K14" s="51" t="s">
        <v>13</v>
      </c>
    </row>
    <row r="15" spans="1:11" ht="15.6" x14ac:dyDescent="0.3">
      <c r="A15" s="44">
        <v>44438</v>
      </c>
      <c r="B15" s="3" t="s">
        <v>8</v>
      </c>
      <c r="C15" s="23" t="s">
        <v>9</v>
      </c>
      <c r="D15" s="23" t="s">
        <v>25</v>
      </c>
      <c r="E15" s="23" t="s">
        <v>10</v>
      </c>
      <c r="F15" s="8">
        <v>25596</v>
      </c>
      <c r="G15" s="5">
        <v>3.2150747E-2</v>
      </c>
      <c r="H15" s="6">
        <f t="shared" si="1"/>
        <v>822.93052021200003</v>
      </c>
      <c r="I15" s="6">
        <f>1798.5*0.94</f>
        <v>1690.59</v>
      </c>
      <c r="J15" s="6">
        <f t="shared" si="0"/>
        <v>1391238.108165205</v>
      </c>
      <c r="K15" s="51" t="s">
        <v>13</v>
      </c>
    </row>
    <row r="16" spans="1:11" ht="15.6" x14ac:dyDescent="0.3">
      <c r="A16" s="44">
        <v>44466</v>
      </c>
      <c r="B16" s="3" t="s">
        <v>8</v>
      </c>
      <c r="C16" s="23" t="s">
        <v>9</v>
      </c>
      <c r="D16" s="23" t="s">
        <v>25</v>
      </c>
      <c r="E16" s="23" t="s">
        <v>10</v>
      </c>
      <c r="F16" s="9">
        <v>25940</v>
      </c>
      <c r="G16" s="10">
        <v>3.2150747E-2</v>
      </c>
      <c r="H16" s="11">
        <f t="shared" si="1"/>
        <v>833.99037718</v>
      </c>
      <c r="I16" s="11">
        <f>1755.3*0.94</f>
        <v>1649.982</v>
      </c>
      <c r="J16" s="11">
        <f t="shared" si="0"/>
        <v>1376069.1105202108</v>
      </c>
      <c r="K16" s="51" t="s">
        <v>13</v>
      </c>
    </row>
    <row r="17" spans="1:11" ht="15.6" x14ac:dyDescent="0.3">
      <c r="A17" s="44">
        <v>44480</v>
      </c>
      <c r="B17" s="3" t="s">
        <v>8</v>
      </c>
      <c r="C17" s="23" t="s">
        <v>9</v>
      </c>
      <c r="D17" s="23" t="s">
        <v>25</v>
      </c>
      <c r="E17" s="23" t="s">
        <v>10</v>
      </c>
      <c r="F17" s="8">
        <v>26220</v>
      </c>
      <c r="G17" s="5">
        <v>3.2150747E-2</v>
      </c>
      <c r="H17" s="6">
        <f t="shared" si="1"/>
        <v>842.99258634</v>
      </c>
      <c r="I17" s="11">
        <f>1757.65*0.94</f>
        <v>1652.191</v>
      </c>
      <c r="J17" s="6">
        <f t="shared" si="0"/>
        <v>1392784.764217671</v>
      </c>
      <c r="K17" s="51" t="s">
        <v>13</v>
      </c>
    </row>
    <row r="18" spans="1:11" ht="15.6" x14ac:dyDescent="0.3">
      <c r="A18" s="44">
        <v>44501</v>
      </c>
      <c r="B18" s="3" t="s">
        <v>8</v>
      </c>
      <c r="C18" s="23" t="s">
        <v>9</v>
      </c>
      <c r="D18" s="23" t="s">
        <v>25</v>
      </c>
      <c r="E18" s="23" t="s">
        <v>10</v>
      </c>
      <c r="F18" s="8">
        <v>26500</v>
      </c>
      <c r="G18" s="5">
        <v>3.2150747E-2</v>
      </c>
      <c r="H18" s="6">
        <f t="shared" si="1"/>
        <v>851.99479550000001</v>
      </c>
      <c r="I18" s="11">
        <f>1793.8*0.94</f>
        <v>1686.1719999999998</v>
      </c>
      <c r="J18" s="11">
        <f t="shared" si="0"/>
        <v>1436609.7683178259</v>
      </c>
      <c r="K18" s="51" t="s">
        <v>13</v>
      </c>
    </row>
    <row r="19" spans="1:11" ht="15.6" x14ac:dyDescent="0.3">
      <c r="A19" s="44">
        <v>44522</v>
      </c>
      <c r="B19" s="3" t="s">
        <v>8</v>
      </c>
      <c r="C19" s="23" t="s">
        <v>9</v>
      </c>
      <c r="D19" s="23" t="s">
        <v>25</v>
      </c>
      <c r="E19" s="23" t="s">
        <v>10</v>
      </c>
      <c r="F19" s="8">
        <v>25504</v>
      </c>
      <c r="G19" s="5">
        <v>3.2150747E-2</v>
      </c>
      <c r="H19" s="6">
        <f t="shared" si="1"/>
        <v>819.972651488</v>
      </c>
      <c r="I19" s="11">
        <f>1841.1*0.94</f>
        <v>1730.6339999999998</v>
      </c>
      <c r="J19" s="11">
        <f t="shared" si="0"/>
        <v>1419072.5497352832</v>
      </c>
      <c r="K19" s="51" t="s">
        <v>13</v>
      </c>
    </row>
    <row r="20" spans="1:11" ht="16.2" thickBot="1" x14ac:dyDescent="0.35">
      <c r="A20" s="60">
        <v>44543</v>
      </c>
      <c r="B20" s="77" t="s">
        <v>8</v>
      </c>
      <c r="C20" s="78" t="s">
        <v>9</v>
      </c>
      <c r="D20" s="78" t="s">
        <v>25</v>
      </c>
      <c r="E20" s="78" t="s">
        <v>10</v>
      </c>
      <c r="F20" s="79">
        <v>25567</v>
      </c>
      <c r="G20" s="80">
        <v>3.2150747E-2</v>
      </c>
      <c r="H20" s="81">
        <f t="shared" si="1"/>
        <v>821.99814854900001</v>
      </c>
      <c r="I20" s="81">
        <f>1784.45*0.94</f>
        <v>1677.383</v>
      </c>
      <c r="J20" s="81">
        <f t="shared" si="0"/>
        <v>1378805.7204075672</v>
      </c>
      <c r="K20" s="51" t="s">
        <v>13</v>
      </c>
    </row>
    <row r="21" spans="1:11" ht="16.2" thickBot="1" x14ac:dyDescent="0.35">
      <c r="A21" s="146" t="s">
        <v>41</v>
      </c>
      <c r="B21" s="146"/>
      <c r="C21" s="146"/>
      <c r="D21" s="146"/>
      <c r="E21" s="146"/>
      <c r="F21" s="87">
        <f>SUM(F5:F20)</f>
        <v>414755</v>
      </c>
      <c r="G21" s="88"/>
      <c r="H21" s="89">
        <f>SUM(H5:H20)</f>
        <v>13334.683071985002</v>
      </c>
      <c r="I21" s="90"/>
      <c r="J21" s="89">
        <f>SUM(J5:J20)</f>
        <v>22672255.658299901</v>
      </c>
      <c r="K21" s="51"/>
    </row>
    <row r="22" spans="1:11" ht="15.6" x14ac:dyDescent="0.3">
      <c r="A22" s="82">
        <v>44201</v>
      </c>
      <c r="B22" s="83" t="s">
        <v>24</v>
      </c>
      <c r="C22" s="84" t="s">
        <v>9</v>
      </c>
      <c r="D22" s="85" t="s">
        <v>25</v>
      </c>
      <c r="E22" s="84" t="s">
        <v>15</v>
      </c>
      <c r="F22" s="86">
        <v>124414</v>
      </c>
      <c r="G22" s="69">
        <v>3.2150747E-2</v>
      </c>
      <c r="H22" s="70">
        <f t="shared" ref="H22:H42" si="2">F22*G22</f>
        <v>4000.0030372579999</v>
      </c>
      <c r="I22" s="70">
        <v>1829.7570000000001</v>
      </c>
      <c r="J22" s="71">
        <f t="shared" si="0"/>
        <v>7319033.5574440863</v>
      </c>
      <c r="K22" s="53" t="s">
        <v>16</v>
      </c>
    </row>
    <row r="23" spans="1:11" ht="15.6" x14ac:dyDescent="0.3">
      <c r="A23" s="52">
        <v>44201</v>
      </c>
      <c r="B23" s="7" t="s">
        <v>24</v>
      </c>
      <c r="C23" s="25" t="s">
        <v>9</v>
      </c>
      <c r="D23" s="23" t="s">
        <v>25</v>
      </c>
      <c r="E23" s="25" t="s">
        <v>15</v>
      </c>
      <c r="F23" s="8">
        <v>62207</v>
      </c>
      <c r="G23" s="5">
        <v>3.2150747E-2</v>
      </c>
      <c r="H23" s="6">
        <f t="shared" si="2"/>
        <v>2000.001518629</v>
      </c>
      <c r="I23" s="6">
        <v>1829.7570000000001</v>
      </c>
      <c r="J23" s="13">
        <f t="shared" si="0"/>
        <v>3659516.7787220431</v>
      </c>
      <c r="K23" s="53" t="s">
        <v>16</v>
      </c>
    </row>
    <row r="24" spans="1:11" ht="15.6" x14ac:dyDescent="0.3">
      <c r="A24" s="52">
        <v>44208</v>
      </c>
      <c r="B24" s="14" t="s">
        <v>14</v>
      </c>
      <c r="C24" s="25" t="s">
        <v>9</v>
      </c>
      <c r="D24" s="23" t="s">
        <v>25</v>
      </c>
      <c r="E24" s="25" t="s">
        <v>15</v>
      </c>
      <c r="F24" s="8">
        <v>62207</v>
      </c>
      <c r="G24" s="5">
        <v>3.2150747E-2</v>
      </c>
      <c r="H24" s="6">
        <f t="shared" si="2"/>
        <v>2000.001518629</v>
      </c>
      <c r="I24" s="6">
        <v>1750.14</v>
      </c>
      <c r="J24" s="13">
        <f t="shared" si="0"/>
        <v>3500282.6578133581</v>
      </c>
      <c r="K24" s="53" t="s">
        <v>16</v>
      </c>
    </row>
    <row r="25" spans="1:11" ht="15.6" x14ac:dyDescent="0.3">
      <c r="A25" s="52">
        <v>44208</v>
      </c>
      <c r="B25" s="14" t="s">
        <v>14</v>
      </c>
      <c r="C25" s="25" t="s">
        <v>9</v>
      </c>
      <c r="D25" s="23" t="s">
        <v>25</v>
      </c>
      <c r="E25" s="25" t="s">
        <v>15</v>
      </c>
      <c r="F25" s="8">
        <v>31104</v>
      </c>
      <c r="G25" s="5">
        <v>3.2150747E-2</v>
      </c>
      <c r="H25" s="6">
        <f t="shared" si="2"/>
        <v>1000.016834688</v>
      </c>
      <c r="I25" s="6">
        <v>1750.14</v>
      </c>
      <c r="J25" s="13">
        <f t="shared" si="0"/>
        <v>1750169.4630608566</v>
      </c>
      <c r="K25" s="53" t="s">
        <v>17</v>
      </c>
    </row>
    <row r="26" spans="1:11" ht="15.6" x14ac:dyDescent="0.3">
      <c r="A26" s="52">
        <v>44215</v>
      </c>
      <c r="B26" s="14" t="s">
        <v>14</v>
      </c>
      <c r="C26" s="25" t="s">
        <v>9</v>
      </c>
      <c r="D26" s="23" t="s">
        <v>25</v>
      </c>
      <c r="E26" s="25" t="s">
        <v>15</v>
      </c>
      <c r="F26" s="9">
        <v>62207</v>
      </c>
      <c r="G26" s="10">
        <v>3.2150747E-2</v>
      </c>
      <c r="H26" s="11">
        <f t="shared" si="2"/>
        <v>2000.001518629</v>
      </c>
      <c r="I26" s="6">
        <v>1731.1980000000001</v>
      </c>
      <c r="J26" s="13">
        <f t="shared" si="0"/>
        <v>3462398.6290474879</v>
      </c>
      <c r="K26" s="53" t="s">
        <v>16</v>
      </c>
    </row>
    <row r="27" spans="1:11" ht="15.6" x14ac:dyDescent="0.3">
      <c r="A27" s="52">
        <v>44222</v>
      </c>
      <c r="B27" s="14" t="s">
        <v>14</v>
      </c>
      <c r="C27" s="25" t="s">
        <v>9</v>
      </c>
      <c r="D27" s="23" t="s">
        <v>25</v>
      </c>
      <c r="E27" s="25" t="s">
        <v>15</v>
      </c>
      <c r="F27" s="9">
        <v>124414</v>
      </c>
      <c r="G27" s="10">
        <v>3.2150747E-2</v>
      </c>
      <c r="H27" s="11">
        <f t="shared" si="2"/>
        <v>4000.0030372579999</v>
      </c>
      <c r="I27" s="6">
        <v>1745.204</v>
      </c>
      <c r="J27" s="13">
        <f t="shared" si="0"/>
        <v>6980821.3006348107</v>
      </c>
      <c r="K27" s="53" t="s">
        <v>16</v>
      </c>
    </row>
    <row r="28" spans="1:11" ht="15.6" x14ac:dyDescent="0.3">
      <c r="A28" s="52">
        <v>44229</v>
      </c>
      <c r="B28" s="14" t="s">
        <v>14</v>
      </c>
      <c r="C28" s="25" t="s">
        <v>9</v>
      </c>
      <c r="D28" s="23" t="s">
        <v>25</v>
      </c>
      <c r="E28" s="25" t="s">
        <v>15</v>
      </c>
      <c r="F28" s="9">
        <v>62207</v>
      </c>
      <c r="G28" s="10">
        <v>3.2150747E-2</v>
      </c>
      <c r="H28" s="11">
        <f t="shared" si="2"/>
        <v>2000.001518629</v>
      </c>
      <c r="I28" s="6">
        <v>1736.2739999999999</v>
      </c>
      <c r="J28" s="13">
        <f>H28*I28</f>
        <v>3472550.6367560481</v>
      </c>
      <c r="K28" s="53" t="s">
        <v>16</v>
      </c>
    </row>
    <row r="29" spans="1:11" ht="15.6" x14ac:dyDescent="0.3">
      <c r="A29" s="52">
        <v>44229</v>
      </c>
      <c r="B29" s="14" t="s">
        <v>14</v>
      </c>
      <c r="C29" s="25" t="s">
        <v>9</v>
      </c>
      <c r="D29" s="23" t="s">
        <v>25</v>
      </c>
      <c r="E29" s="25" t="s">
        <v>15</v>
      </c>
      <c r="F29" s="9">
        <v>31104</v>
      </c>
      <c r="G29" s="10">
        <v>3.2150747E-2</v>
      </c>
      <c r="H29" s="11">
        <f t="shared" si="2"/>
        <v>1000.016834688</v>
      </c>
      <c r="I29" s="6">
        <v>1736.2739999999999</v>
      </c>
      <c r="J29" s="13">
        <f>H29*I29</f>
        <v>1736303.2296310724</v>
      </c>
      <c r="K29" s="53" t="s">
        <v>17</v>
      </c>
    </row>
    <row r="30" spans="1:11" ht="15.6" x14ac:dyDescent="0.3">
      <c r="A30" s="52">
        <v>44243</v>
      </c>
      <c r="B30" s="14" t="s">
        <v>14</v>
      </c>
      <c r="C30" s="25" t="s">
        <v>9</v>
      </c>
      <c r="D30" s="23" t="s">
        <v>25</v>
      </c>
      <c r="E30" s="25" t="s">
        <v>15</v>
      </c>
      <c r="F30" s="8">
        <v>124414</v>
      </c>
      <c r="G30" s="5">
        <v>3.2150747E-2</v>
      </c>
      <c r="H30" s="6">
        <f t="shared" si="2"/>
        <v>4000.0030372579999</v>
      </c>
      <c r="I30" s="6">
        <v>1714.0429999999999</v>
      </c>
      <c r="J30" s="13">
        <f>H30*I30</f>
        <v>6856177.2059908137</v>
      </c>
      <c r="K30" s="54" t="s">
        <v>16</v>
      </c>
    </row>
    <row r="31" spans="1:11" ht="15.6" x14ac:dyDescent="0.3">
      <c r="A31" s="52">
        <v>44243</v>
      </c>
      <c r="B31" s="14" t="s">
        <v>14</v>
      </c>
      <c r="C31" s="25" t="s">
        <v>9</v>
      </c>
      <c r="D31" s="23" t="s">
        <v>25</v>
      </c>
      <c r="E31" s="25" t="s">
        <v>15</v>
      </c>
      <c r="F31" s="8">
        <v>62207</v>
      </c>
      <c r="G31" s="5">
        <v>3.2150747E-2</v>
      </c>
      <c r="H31" s="6">
        <f t="shared" si="2"/>
        <v>2000.001518629</v>
      </c>
      <c r="I31" s="6">
        <v>1714.0429999999999</v>
      </c>
      <c r="J31" s="13">
        <f>H31*I31</f>
        <v>3428088.6029954068</v>
      </c>
      <c r="K31" s="54" t="s">
        <v>16</v>
      </c>
    </row>
    <row r="32" spans="1:11" ht="15.6" x14ac:dyDescent="0.3">
      <c r="A32" s="52">
        <v>44249</v>
      </c>
      <c r="B32" s="14" t="s">
        <v>14</v>
      </c>
      <c r="C32" s="25" t="s">
        <v>9</v>
      </c>
      <c r="D32" s="23" t="s">
        <v>25</v>
      </c>
      <c r="E32" s="25" t="s">
        <v>15</v>
      </c>
      <c r="F32" s="8">
        <v>124414</v>
      </c>
      <c r="G32" s="5">
        <v>3.2150747E-2</v>
      </c>
      <c r="H32" s="6">
        <f t="shared" si="2"/>
        <v>4000.0030372579999</v>
      </c>
      <c r="I32" s="6">
        <v>1699.0029999999999</v>
      </c>
      <c r="J32" s="13">
        <f>H32*I32</f>
        <v>6796017.1603104537</v>
      </c>
      <c r="K32" s="53" t="s">
        <v>16</v>
      </c>
    </row>
    <row r="33" spans="1:11" ht="15.6" x14ac:dyDescent="0.3">
      <c r="A33" s="52">
        <v>44257</v>
      </c>
      <c r="B33" s="14" t="s">
        <v>14</v>
      </c>
      <c r="C33" s="25" t="s">
        <v>9</v>
      </c>
      <c r="D33" s="23" t="s">
        <v>25</v>
      </c>
      <c r="E33" s="25" t="s">
        <v>15</v>
      </c>
      <c r="F33" s="9">
        <v>124414</v>
      </c>
      <c r="G33" s="5">
        <v>3.2150747E-2</v>
      </c>
      <c r="H33" s="11">
        <f t="shared" si="2"/>
        <v>4000.0030372579999</v>
      </c>
      <c r="I33" s="6">
        <v>1624.79</v>
      </c>
      <c r="J33" s="13">
        <f t="shared" ref="J33:J93" si="3">+H33*I33</f>
        <v>6499164.9349064259</v>
      </c>
      <c r="K33" s="53" t="s">
        <v>16</v>
      </c>
    </row>
    <row r="34" spans="1:11" ht="15.6" x14ac:dyDescent="0.3">
      <c r="A34" s="52">
        <v>44264</v>
      </c>
      <c r="B34" s="14" t="s">
        <v>14</v>
      </c>
      <c r="C34" s="25" t="s">
        <v>9</v>
      </c>
      <c r="D34" s="23" t="s">
        <v>25</v>
      </c>
      <c r="E34" s="25" t="s">
        <v>15</v>
      </c>
      <c r="F34" s="9">
        <v>124414</v>
      </c>
      <c r="G34" s="10">
        <v>3.2150747E-2</v>
      </c>
      <c r="H34" s="11">
        <f t="shared" si="2"/>
        <v>4000.0030372579999</v>
      </c>
      <c r="I34" s="11">
        <v>1613.886</v>
      </c>
      <c r="J34" s="13">
        <f t="shared" si="3"/>
        <v>6455548.9017881639</v>
      </c>
      <c r="K34" s="54" t="s">
        <v>16</v>
      </c>
    </row>
    <row r="35" spans="1:11" ht="15.6" x14ac:dyDescent="0.3">
      <c r="A35" s="52">
        <v>44264</v>
      </c>
      <c r="B35" s="14" t="s">
        <v>14</v>
      </c>
      <c r="C35" s="25" t="s">
        <v>9</v>
      </c>
      <c r="D35" s="23" t="s">
        <v>25</v>
      </c>
      <c r="E35" s="25" t="s">
        <v>15</v>
      </c>
      <c r="F35" s="9">
        <v>62207</v>
      </c>
      <c r="G35" s="10">
        <v>3.2150747E-2</v>
      </c>
      <c r="H35" s="11">
        <f t="shared" si="2"/>
        <v>2000.001518629</v>
      </c>
      <c r="I35" s="11">
        <v>1613.886</v>
      </c>
      <c r="J35" s="13">
        <f t="shared" si="3"/>
        <v>3227774.450894082</v>
      </c>
      <c r="K35" s="54" t="s">
        <v>16</v>
      </c>
    </row>
    <row r="36" spans="1:11" ht="15.6" x14ac:dyDescent="0.3">
      <c r="A36" s="52">
        <v>44271</v>
      </c>
      <c r="B36" s="14" t="s">
        <v>14</v>
      </c>
      <c r="C36" s="25" t="s">
        <v>9</v>
      </c>
      <c r="D36" s="23" t="s">
        <v>25</v>
      </c>
      <c r="E36" s="25" t="s">
        <v>15</v>
      </c>
      <c r="F36" s="9">
        <v>124414</v>
      </c>
      <c r="G36" s="10">
        <v>3.2150747E-2</v>
      </c>
      <c r="H36" s="11">
        <f t="shared" si="2"/>
        <v>4000.0030372579999</v>
      </c>
      <c r="I36" s="11">
        <v>1630.8999999999999</v>
      </c>
      <c r="J36" s="13">
        <f t="shared" si="3"/>
        <v>6523604.9534640713</v>
      </c>
      <c r="K36" s="53" t="s">
        <v>16</v>
      </c>
    </row>
    <row r="37" spans="1:11" ht="15.6" x14ac:dyDescent="0.3">
      <c r="A37" s="52">
        <v>44271</v>
      </c>
      <c r="B37" s="14" t="s">
        <v>14</v>
      </c>
      <c r="C37" s="25" t="s">
        <v>9</v>
      </c>
      <c r="D37" s="23" t="s">
        <v>25</v>
      </c>
      <c r="E37" s="25" t="s">
        <v>15</v>
      </c>
      <c r="F37" s="9">
        <v>31104</v>
      </c>
      <c r="G37" s="10">
        <v>3.2150747E-2</v>
      </c>
      <c r="H37" s="11">
        <f t="shared" si="2"/>
        <v>1000.016834688</v>
      </c>
      <c r="I37" s="11">
        <v>1630.8999999999999</v>
      </c>
      <c r="J37" s="13">
        <f t="shared" si="3"/>
        <v>1630927.4556926591</v>
      </c>
      <c r="K37" s="53" t="s">
        <v>17</v>
      </c>
    </row>
    <row r="38" spans="1:11" ht="15.6" x14ac:dyDescent="0.3">
      <c r="A38" s="52">
        <v>44278</v>
      </c>
      <c r="B38" s="14" t="s">
        <v>14</v>
      </c>
      <c r="C38" s="25" t="s">
        <v>9</v>
      </c>
      <c r="D38" s="23" t="s">
        <v>25</v>
      </c>
      <c r="E38" s="25" t="s">
        <v>15</v>
      </c>
      <c r="F38" s="9">
        <v>124414</v>
      </c>
      <c r="G38" s="10">
        <v>3.2150747E-2</v>
      </c>
      <c r="H38" s="11">
        <f t="shared" si="2"/>
        <v>4000.0030372579999</v>
      </c>
      <c r="I38" s="11">
        <v>1634.9</v>
      </c>
      <c r="J38" s="13">
        <f t="shared" si="3"/>
        <v>6539604.9656131044</v>
      </c>
      <c r="K38" s="53" t="s">
        <v>16</v>
      </c>
    </row>
    <row r="39" spans="1:11" ht="15.6" x14ac:dyDescent="0.3">
      <c r="A39" s="52">
        <v>44285</v>
      </c>
      <c r="B39" s="14" t="s">
        <v>14</v>
      </c>
      <c r="C39" s="25" t="s">
        <v>9</v>
      </c>
      <c r="D39" s="23" t="s">
        <v>25</v>
      </c>
      <c r="E39" s="25" t="s">
        <v>15</v>
      </c>
      <c r="F39" s="9">
        <v>124414</v>
      </c>
      <c r="G39" s="10">
        <v>3.2150747E-2</v>
      </c>
      <c r="H39" s="11">
        <f t="shared" si="2"/>
        <v>4000.0030372579999</v>
      </c>
      <c r="I39" s="11">
        <v>1594.9</v>
      </c>
      <c r="J39" s="13">
        <f t="shared" si="3"/>
        <v>6379604.8441227842</v>
      </c>
      <c r="K39" s="53" t="s">
        <v>16</v>
      </c>
    </row>
    <row r="40" spans="1:11" ht="15.6" x14ac:dyDescent="0.3">
      <c r="A40" s="55">
        <v>44292</v>
      </c>
      <c r="B40" s="14" t="s">
        <v>14</v>
      </c>
      <c r="C40" s="25" t="s">
        <v>9</v>
      </c>
      <c r="D40" s="23" t="s">
        <v>25</v>
      </c>
      <c r="E40" s="25" t="s">
        <v>15</v>
      </c>
      <c r="F40" s="9">
        <v>124414</v>
      </c>
      <c r="G40" s="10">
        <v>3.2150747E-2</v>
      </c>
      <c r="H40" s="11">
        <f t="shared" si="2"/>
        <v>4000.0030372579999</v>
      </c>
      <c r="I40" s="11">
        <v>1639.71</v>
      </c>
      <c r="J40" s="13">
        <f t="shared" si="3"/>
        <v>6558844.9802223155</v>
      </c>
      <c r="K40" s="53" t="s">
        <v>16</v>
      </c>
    </row>
    <row r="41" spans="1:11" ht="15.6" x14ac:dyDescent="0.3">
      <c r="A41" s="55">
        <v>44299</v>
      </c>
      <c r="B41" s="14" t="s">
        <v>14</v>
      </c>
      <c r="C41" s="25" t="s">
        <v>9</v>
      </c>
      <c r="D41" s="23" t="s">
        <v>25</v>
      </c>
      <c r="E41" s="25" t="s">
        <v>15</v>
      </c>
      <c r="F41" s="15">
        <v>31104</v>
      </c>
      <c r="G41" s="16">
        <v>3.2150747E-2</v>
      </c>
      <c r="H41" s="17">
        <f t="shared" si="2"/>
        <v>1000.016834688</v>
      </c>
      <c r="I41" s="17">
        <v>1643.0729999999999</v>
      </c>
      <c r="J41" s="18">
        <f t="shared" si="3"/>
        <v>1643100.6606213162</v>
      </c>
      <c r="K41" s="56" t="s">
        <v>17</v>
      </c>
    </row>
    <row r="42" spans="1:11" ht="15.6" x14ac:dyDescent="0.3">
      <c r="A42" s="55">
        <v>44299</v>
      </c>
      <c r="B42" s="14" t="s">
        <v>14</v>
      </c>
      <c r="C42" s="25" t="s">
        <v>9</v>
      </c>
      <c r="D42" s="23" t="s">
        <v>25</v>
      </c>
      <c r="E42" s="25" t="s">
        <v>15</v>
      </c>
      <c r="F42" s="15">
        <v>62207</v>
      </c>
      <c r="G42" s="16">
        <v>3.2150747E-2</v>
      </c>
      <c r="H42" s="17">
        <f t="shared" si="2"/>
        <v>2000.001518629</v>
      </c>
      <c r="I42" s="17">
        <v>1643.0729999999999</v>
      </c>
      <c r="J42" s="18">
        <f t="shared" si="3"/>
        <v>3286148.4952183068</v>
      </c>
      <c r="K42" s="56" t="s">
        <v>16</v>
      </c>
    </row>
    <row r="43" spans="1:11" ht="15.6" x14ac:dyDescent="0.3">
      <c r="A43" s="55">
        <v>44299</v>
      </c>
      <c r="B43" s="14" t="s">
        <v>14</v>
      </c>
      <c r="C43" s="25" t="s">
        <v>9</v>
      </c>
      <c r="D43" s="23" t="s">
        <v>25</v>
      </c>
      <c r="E43" s="25" t="s">
        <v>15</v>
      </c>
      <c r="F43" s="15">
        <v>64903</v>
      </c>
      <c r="G43" s="16">
        <v>3.2150747E-2</v>
      </c>
      <c r="H43" s="17">
        <f>F43*G43-100</f>
        <v>1986.6799325410002</v>
      </c>
      <c r="I43" s="17">
        <v>1643.0729999999999</v>
      </c>
      <c r="J43" s="18">
        <f t="shared" si="3"/>
        <v>3264260.1567999385</v>
      </c>
      <c r="K43" s="56" t="s">
        <v>18</v>
      </c>
    </row>
    <row r="44" spans="1:11" ht="15.6" x14ac:dyDescent="0.3">
      <c r="A44" s="55">
        <v>44301</v>
      </c>
      <c r="B44" s="14" t="s">
        <v>14</v>
      </c>
      <c r="C44" s="25" t="s">
        <v>9</v>
      </c>
      <c r="D44" s="23" t="s">
        <v>25</v>
      </c>
      <c r="E44" s="25" t="s">
        <v>15</v>
      </c>
      <c r="F44" s="15">
        <v>62207</v>
      </c>
      <c r="G44" s="16">
        <v>3.2150747E-2</v>
      </c>
      <c r="H44" s="17">
        <f>F44*G44</f>
        <v>2000.001518629</v>
      </c>
      <c r="I44" s="17">
        <v>1651.768</v>
      </c>
      <c r="J44" s="18">
        <f t="shared" si="3"/>
        <v>3303538.5084227859</v>
      </c>
      <c r="K44" s="56" t="s">
        <v>16</v>
      </c>
    </row>
    <row r="45" spans="1:11" ht="15.6" x14ac:dyDescent="0.3">
      <c r="A45" s="55">
        <v>44306</v>
      </c>
      <c r="B45" s="14" t="s">
        <v>14</v>
      </c>
      <c r="C45" s="25" t="s">
        <v>9</v>
      </c>
      <c r="D45" s="23" t="s">
        <v>25</v>
      </c>
      <c r="E45" s="25" t="s">
        <v>15</v>
      </c>
      <c r="F45" s="15">
        <v>124414</v>
      </c>
      <c r="G45" s="16">
        <v>3.2150747E-2</v>
      </c>
      <c r="H45" s="17">
        <f>F45*G45</f>
        <v>4000.0030372579999</v>
      </c>
      <c r="I45" s="17">
        <v>1671.1789999999999</v>
      </c>
      <c r="J45" s="18">
        <f t="shared" si="3"/>
        <v>6684721.075801787</v>
      </c>
      <c r="K45" s="56" t="s">
        <v>16</v>
      </c>
    </row>
    <row r="46" spans="1:11" ht="15.6" x14ac:dyDescent="0.3">
      <c r="A46" s="55">
        <v>44313</v>
      </c>
      <c r="B46" s="14" t="s">
        <v>14</v>
      </c>
      <c r="C46" s="25" t="s">
        <v>9</v>
      </c>
      <c r="D46" s="23" t="s">
        <v>25</v>
      </c>
      <c r="E46" s="25" t="s">
        <v>15</v>
      </c>
      <c r="F46" s="15">
        <v>64486</v>
      </c>
      <c r="G46" s="16">
        <v>3.2150747E-2</v>
      </c>
      <c r="H46" s="17">
        <f>F46*G46-73.95</f>
        <v>1999.323071042</v>
      </c>
      <c r="I46" s="17">
        <v>1690.308</v>
      </c>
      <c r="J46" s="18">
        <f t="shared" si="3"/>
        <v>3379471.7815668611</v>
      </c>
      <c r="K46" s="56" t="s">
        <v>18</v>
      </c>
    </row>
    <row r="47" spans="1:11" ht="15.6" x14ac:dyDescent="0.3">
      <c r="A47" s="55">
        <v>44313</v>
      </c>
      <c r="B47" s="14" t="s">
        <v>14</v>
      </c>
      <c r="C47" s="25" t="s">
        <v>9</v>
      </c>
      <c r="D47" s="23" t="s">
        <v>25</v>
      </c>
      <c r="E47" s="25" t="s">
        <v>15</v>
      </c>
      <c r="F47" s="15">
        <v>62207</v>
      </c>
      <c r="G47" s="16">
        <v>3.2150747E-2</v>
      </c>
      <c r="H47" s="17">
        <f t="shared" ref="H47:H53" si="4">F47*G47</f>
        <v>2000.001518629</v>
      </c>
      <c r="I47" s="17">
        <v>1690.308</v>
      </c>
      <c r="J47" s="18">
        <f t="shared" si="3"/>
        <v>3380618.5669507477</v>
      </c>
      <c r="K47" s="56" t="s">
        <v>16</v>
      </c>
    </row>
    <row r="48" spans="1:11" ht="15.6" x14ac:dyDescent="0.3">
      <c r="A48" s="55">
        <v>44316</v>
      </c>
      <c r="B48" s="14" t="s">
        <v>14</v>
      </c>
      <c r="C48" s="25" t="s">
        <v>9</v>
      </c>
      <c r="D48" s="23" t="s">
        <v>25</v>
      </c>
      <c r="E48" s="25" t="s">
        <v>15</v>
      </c>
      <c r="F48" s="15">
        <v>62207</v>
      </c>
      <c r="G48" s="16">
        <v>3.2150747E-2</v>
      </c>
      <c r="H48" s="17">
        <f t="shared" si="4"/>
        <v>2000.001518629</v>
      </c>
      <c r="I48" s="17">
        <v>1662.672</v>
      </c>
      <c r="J48" s="18">
        <f t="shared" si="3"/>
        <v>3325346.5249819169</v>
      </c>
      <c r="K48" s="56" t="s">
        <v>16</v>
      </c>
    </row>
    <row r="49" spans="1:11" ht="15.6" x14ac:dyDescent="0.3">
      <c r="A49" s="55">
        <v>44320</v>
      </c>
      <c r="B49" s="14" t="s">
        <v>14</v>
      </c>
      <c r="C49" s="25" t="s">
        <v>9</v>
      </c>
      <c r="D49" s="23" t="s">
        <v>25</v>
      </c>
      <c r="E49" s="25" t="s">
        <v>15</v>
      </c>
      <c r="F49" s="15">
        <v>93312</v>
      </c>
      <c r="G49" s="16">
        <v>3.2150747E-2</v>
      </c>
      <c r="H49" s="17">
        <f t="shared" si="4"/>
        <v>3000.0505040640001</v>
      </c>
      <c r="I49" s="145">
        <v>1689.885</v>
      </c>
      <c r="J49" s="18">
        <f>+H49*I49</f>
        <v>5069740.3460601931</v>
      </c>
      <c r="K49" s="56" t="s">
        <v>16</v>
      </c>
    </row>
    <row r="50" spans="1:11" ht="15.6" x14ac:dyDescent="0.3">
      <c r="A50" s="55">
        <v>44327</v>
      </c>
      <c r="B50" s="14" t="s">
        <v>14</v>
      </c>
      <c r="C50" s="25" t="s">
        <v>9</v>
      </c>
      <c r="D50" s="23" t="s">
        <v>25</v>
      </c>
      <c r="E50" s="25" t="s">
        <v>15</v>
      </c>
      <c r="F50" s="15">
        <v>124415</v>
      </c>
      <c r="G50" s="16">
        <v>3.2150747E-2</v>
      </c>
      <c r="H50" s="17">
        <f t="shared" si="4"/>
        <v>4000.0351880050002</v>
      </c>
      <c r="I50" s="17">
        <v>1726.92</v>
      </c>
      <c r="J50" s="18">
        <v>6907744.7699999996</v>
      </c>
      <c r="K50" s="57" t="s">
        <v>16</v>
      </c>
    </row>
    <row r="51" spans="1:11" ht="15.6" x14ac:dyDescent="0.3">
      <c r="A51" s="55">
        <v>44327</v>
      </c>
      <c r="B51" s="14" t="s">
        <v>14</v>
      </c>
      <c r="C51" s="25" t="s">
        <v>9</v>
      </c>
      <c r="D51" s="23" t="s">
        <v>25</v>
      </c>
      <c r="E51" s="25" t="s">
        <v>15</v>
      </c>
      <c r="F51" s="15">
        <v>31104</v>
      </c>
      <c r="G51" s="16">
        <v>3.2150747E-2</v>
      </c>
      <c r="H51" s="17">
        <f t="shared" si="4"/>
        <v>1000.016834688</v>
      </c>
      <c r="I51" s="17">
        <v>1726.92</v>
      </c>
      <c r="J51" s="18">
        <v>1726950.07</v>
      </c>
      <c r="K51" s="57" t="s">
        <v>16</v>
      </c>
    </row>
    <row r="52" spans="1:11" ht="15.6" x14ac:dyDescent="0.3">
      <c r="A52" s="52">
        <v>44334</v>
      </c>
      <c r="B52" s="14" t="s">
        <v>14</v>
      </c>
      <c r="C52" s="25" t="s">
        <v>9</v>
      </c>
      <c r="D52" s="23" t="s">
        <v>25</v>
      </c>
      <c r="E52" s="25" t="s">
        <v>15</v>
      </c>
      <c r="F52" s="15">
        <v>124414</v>
      </c>
      <c r="G52" s="16">
        <v>3.2150747E-2</v>
      </c>
      <c r="H52" s="17">
        <f t="shared" si="4"/>
        <v>4000.0030372579999</v>
      </c>
      <c r="I52" s="17">
        <v>1755.356</v>
      </c>
      <c r="J52" s="18">
        <f t="shared" si="3"/>
        <v>7021429.3314690534</v>
      </c>
      <c r="K52" s="56" t="s">
        <v>16</v>
      </c>
    </row>
    <row r="53" spans="1:11" ht="15.6" x14ac:dyDescent="0.3">
      <c r="A53" s="52">
        <v>44341</v>
      </c>
      <c r="B53" s="14" t="s">
        <v>14</v>
      </c>
      <c r="C53" s="25" t="s">
        <v>9</v>
      </c>
      <c r="D53" s="23" t="s">
        <v>25</v>
      </c>
      <c r="E53" s="25" t="s">
        <v>15</v>
      </c>
      <c r="F53" s="15">
        <v>149298</v>
      </c>
      <c r="G53" s="16">
        <v>3.2150747E-2</v>
      </c>
      <c r="H53" s="17">
        <f t="shared" si="4"/>
        <v>4800.0422256060001</v>
      </c>
      <c r="I53" s="17">
        <v>1773.78</v>
      </c>
      <c r="J53" s="18">
        <f t="shared" si="3"/>
        <v>8514218.8989354111</v>
      </c>
      <c r="K53" s="56" t="s">
        <v>16</v>
      </c>
    </row>
    <row r="54" spans="1:11" ht="15.6" x14ac:dyDescent="0.3">
      <c r="A54" s="52">
        <v>44348</v>
      </c>
      <c r="B54" s="14" t="s">
        <v>14</v>
      </c>
      <c r="C54" s="25" t="s">
        <v>9</v>
      </c>
      <c r="D54" s="23" t="s">
        <v>25</v>
      </c>
      <c r="E54" s="25" t="s">
        <v>15</v>
      </c>
      <c r="F54" s="15">
        <v>124414</v>
      </c>
      <c r="G54" s="16">
        <v>3.2150747E-2</v>
      </c>
      <c r="H54" s="17">
        <f>+F54*G54</f>
        <v>4000.0030372579999</v>
      </c>
      <c r="I54" s="17">
        <v>1793.2379999999998</v>
      </c>
      <c r="J54" s="18">
        <f t="shared" si="3"/>
        <v>7172957.4465264603</v>
      </c>
      <c r="K54" s="56" t="s">
        <v>16</v>
      </c>
    </row>
    <row r="55" spans="1:11" ht="15.6" x14ac:dyDescent="0.3">
      <c r="A55" s="52">
        <v>44356</v>
      </c>
      <c r="B55" s="14" t="s">
        <v>14</v>
      </c>
      <c r="C55" s="25" t="s">
        <v>9</v>
      </c>
      <c r="D55" s="23" t="s">
        <v>25</v>
      </c>
      <c r="E55" s="25" t="s">
        <v>15</v>
      </c>
      <c r="F55" s="9">
        <v>124414</v>
      </c>
      <c r="G55" s="10">
        <v>3.2150747E-2</v>
      </c>
      <c r="H55" s="11">
        <f>+F55*G55</f>
        <v>4000.0030372579999</v>
      </c>
      <c r="I55" s="11">
        <v>1780.9239999999998</v>
      </c>
      <c r="J55" s="13">
        <f t="shared" si="3"/>
        <v>7123701.4091256652</v>
      </c>
      <c r="K55" s="53" t="s">
        <v>16</v>
      </c>
    </row>
    <row r="56" spans="1:11" ht="15.6" x14ac:dyDescent="0.3">
      <c r="A56" s="52">
        <v>44362</v>
      </c>
      <c r="B56" s="14" t="s">
        <v>14</v>
      </c>
      <c r="C56" s="25" t="s">
        <v>9</v>
      </c>
      <c r="D56" s="23" t="s">
        <v>25</v>
      </c>
      <c r="E56" s="25" t="s">
        <v>15</v>
      </c>
      <c r="F56" s="9">
        <v>124414</v>
      </c>
      <c r="G56" s="10">
        <v>3.2150747E-2</v>
      </c>
      <c r="H56" s="11">
        <f>+F56*G56</f>
        <v>4000.0030372579999</v>
      </c>
      <c r="I56" s="11">
        <v>1753.194</v>
      </c>
      <c r="J56" s="13">
        <f t="shared" si="3"/>
        <v>7012781.3249025019</v>
      </c>
      <c r="K56" s="53" t="s">
        <v>16</v>
      </c>
    </row>
    <row r="57" spans="1:11" ht="15.6" x14ac:dyDescent="0.3">
      <c r="A57" s="52">
        <v>44369</v>
      </c>
      <c r="B57" s="14" t="s">
        <v>14</v>
      </c>
      <c r="C57" s="25" t="s">
        <v>9</v>
      </c>
      <c r="D57" s="23" t="s">
        <v>25</v>
      </c>
      <c r="E57" s="25" t="s">
        <v>15</v>
      </c>
      <c r="F57" s="9">
        <v>99533</v>
      </c>
      <c r="G57" s="10">
        <v>3.2150747E-2</v>
      </c>
      <c r="H57" s="11">
        <f>F57*G57</f>
        <v>3200.0603011510002</v>
      </c>
      <c r="I57" s="11">
        <v>1672.354</v>
      </c>
      <c r="J57" s="13">
        <f t="shared" si="3"/>
        <v>5351633.6448710803</v>
      </c>
      <c r="K57" s="53" t="s">
        <v>16</v>
      </c>
    </row>
    <row r="58" spans="1:11" ht="15.6" x14ac:dyDescent="0.3">
      <c r="A58" s="52">
        <v>44376</v>
      </c>
      <c r="B58" s="14" t="s">
        <v>14</v>
      </c>
      <c r="C58" s="25" t="s">
        <v>9</v>
      </c>
      <c r="D58" s="23" t="s">
        <v>25</v>
      </c>
      <c r="E58" s="25" t="s">
        <v>15</v>
      </c>
      <c r="F58" s="9">
        <v>49766</v>
      </c>
      <c r="G58" s="10">
        <v>3.2150747E-2</v>
      </c>
      <c r="H58" s="11">
        <f>+F58*G58</f>
        <v>1600.014075202</v>
      </c>
      <c r="I58" s="11">
        <f>1663.424</f>
        <v>1663.424</v>
      </c>
      <c r="J58" s="13">
        <f t="shared" si="3"/>
        <v>2661501.8130288115</v>
      </c>
      <c r="K58" s="53" t="s">
        <v>16</v>
      </c>
    </row>
    <row r="59" spans="1:11" ht="15.6" x14ac:dyDescent="0.3">
      <c r="A59" s="52">
        <v>44376</v>
      </c>
      <c r="B59" s="14" t="s">
        <v>14</v>
      </c>
      <c r="C59" s="25" t="s">
        <v>9</v>
      </c>
      <c r="D59" s="23" t="s">
        <v>25</v>
      </c>
      <c r="E59" s="25" t="s">
        <v>15</v>
      </c>
      <c r="F59" s="9">
        <v>31104</v>
      </c>
      <c r="G59" s="10">
        <v>3.2150747E-2</v>
      </c>
      <c r="H59" s="11">
        <f>+F59*G57</f>
        <v>1000.016834688</v>
      </c>
      <c r="I59" s="11">
        <v>1663.424</v>
      </c>
      <c r="J59" s="13">
        <f t="shared" si="3"/>
        <v>1663452.0032240518</v>
      </c>
      <c r="K59" s="53" t="s">
        <v>17</v>
      </c>
    </row>
    <row r="60" spans="1:11" ht="15.6" x14ac:dyDescent="0.3">
      <c r="A60" s="52">
        <v>44383</v>
      </c>
      <c r="B60" s="14" t="s">
        <v>14</v>
      </c>
      <c r="C60" s="25" t="s">
        <v>9</v>
      </c>
      <c r="D60" s="23" t="s">
        <v>25</v>
      </c>
      <c r="E60" s="25" t="s">
        <v>15</v>
      </c>
      <c r="F60" s="9">
        <v>124414</v>
      </c>
      <c r="G60" s="10">
        <v>3.2150747E-2</v>
      </c>
      <c r="H60" s="11">
        <f t="shared" ref="H60:H73" si="5">F60*G60</f>
        <v>4000.0030372579999</v>
      </c>
      <c r="I60" s="11">
        <v>1809.85</v>
      </c>
      <c r="J60" s="13">
        <f t="shared" si="3"/>
        <v>7239405.4969813908</v>
      </c>
      <c r="K60" s="53" t="s">
        <v>16</v>
      </c>
    </row>
    <row r="61" spans="1:11" ht="15.6" x14ac:dyDescent="0.3">
      <c r="A61" s="52">
        <v>44390</v>
      </c>
      <c r="B61" s="14" t="s">
        <v>14</v>
      </c>
      <c r="C61" s="25" t="s">
        <v>9</v>
      </c>
      <c r="D61" s="23" t="s">
        <v>25</v>
      </c>
      <c r="E61" s="25" t="s">
        <v>15</v>
      </c>
      <c r="F61" s="9">
        <v>124414</v>
      </c>
      <c r="G61" s="10">
        <v>3.2150747E-2</v>
      </c>
      <c r="H61" s="11">
        <f t="shared" si="5"/>
        <v>4000.0030372579999</v>
      </c>
      <c r="I61" s="19">
        <v>1813.85</v>
      </c>
      <c r="J61" s="13">
        <f t="shared" si="3"/>
        <v>7255405.509130423</v>
      </c>
      <c r="K61" s="53" t="s">
        <v>16</v>
      </c>
    </row>
    <row r="62" spans="1:11" ht="15.6" x14ac:dyDescent="0.3">
      <c r="A62" s="52">
        <v>44397</v>
      </c>
      <c r="B62" s="14" t="s">
        <v>14</v>
      </c>
      <c r="C62" s="25" t="s">
        <v>9</v>
      </c>
      <c r="D62" s="23" t="s">
        <v>25</v>
      </c>
      <c r="E62" s="25" t="s">
        <v>15</v>
      </c>
      <c r="F62" s="9">
        <v>124414</v>
      </c>
      <c r="G62" s="10">
        <v>3.2150747E-2</v>
      </c>
      <c r="H62" s="11">
        <f t="shared" si="5"/>
        <v>4000.0030372579999</v>
      </c>
      <c r="I62" s="11">
        <v>1823.05</v>
      </c>
      <c r="J62" s="13">
        <f t="shared" si="3"/>
        <v>7292205.5370731968</v>
      </c>
      <c r="K62" s="53" t="s">
        <v>16</v>
      </c>
    </row>
    <row r="63" spans="1:11" ht="15.6" x14ac:dyDescent="0.3">
      <c r="A63" s="52">
        <v>44404</v>
      </c>
      <c r="B63" s="14" t="s">
        <v>14</v>
      </c>
      <c r="C63" s="25" t="s">
        <v>9</v>
      </c>
      <c r="D63" s="23" t="s">
        <v>25</v>
      </c>
      <c r="E63" s="25" t="s">
        <v>15</v>
      </c>
      <c r="F63" s="9">
        <v>99533</v>
      </c>
      <c r="G63" s="10">
        <v>3.2150747E-2</v>
      </c>
      <c r="H63" s="11">
        <f t="shared" si="5"/>
        <v>3200.0603011510002</v>
      </c>
      <c r="I63" s="11">
        <v>1800.35</v>
      </c>
      <c r="J63" s="13">
        <f t="shared" si="3"/>
        <v>5761228.5631772028</v>
      </c>
      <c r="K63" s="53" t="s">
        <v>16</v>
      </c>
    </row>
    <row r="64" spans="1:11" ht="15.6" x14ac:dyDescent="0.3">
      <c r="A64" s="52">
        <v>44411</v>
      </c>
      <c r="B64" s="14" t="s">
        <v>14</v>
      </c>
      <c r="C64" s="25" t="s">
        <v>9</v>
      </c>
      <c r="D64" s="23" t="s">
        <v>25</v>
      </c>
      <c r="E64" s="25" t="s">
        <v>15</v>
      </c>
      <c r="F64" s="9">
        <v>124415</v>
      </c>
      <c r="G64" s="10">
        <v>3.2150747E-2</v>
      </c>
      <c r="H64" s="11">
        <f t="shared" si="5"/>
        <v>4000.0351880050002</v>
      </c>
      <c r="I64" s="11">
        <f>1812.65*0.94</f>
        <v>1703.8910000000001</v>
      </c>
      <c r="J64" s="13">
        <f t="shared" si="3"/>
        <v>6815623.9565250278</v>
      </c>
      <c r="K64" s="53" t="s">
        <v>16</v>
      </c>
    </row>
    <row r="65" spans="1:11" ht="15.6" x14ac:dyDescent="0.3">
      <c r="A65" s="52">
        <v>44418</v>
      </c>
      <c r="B65" s="14" t="s">
        <v>14</v>
      </c>
      <c r="C65" s="25" t="s">
        <v>9</v>
      </c>
      <c r="D65" s="23" t="s">
        <v>25</v>
      </c>
      <c r="E65" s="25" t="s">
        <v>15</v>
      </c>
      <c r="F65" s="9">
        <v>124414</v>
      </c>
      <c r="G65" s="10">
        <v>3.2150747E-2</v>
      </c>
      <c r="H65" s="11">
        <f t="shared" si="5"/>
        <v>4000.0030372579999</v>
      </c>
      <c r="I65" s="11">
        <f>1729.55*0.94</f>
        <v>1625.7769999999998</v>
      </c>
      <c r="J65" s="13">
        <f t="shared" si="3"/>
        <v>6503112.9379041987</v>
      </c>
      <c r="K65" s="53" t="s">
        <v>16</v>
      </c>
    </row>
    <row r="66" spans="1:11" ht="15.6" x14ac:dyDescent="0.3">
      <c r="A66" s="52">
        <v>44425</v>
      </c>
      <c r="B66" s="14" t="s">
        <v>14</v>
      </c>
      <c r="C66" s="25" t="s">
        <v>9</v>
      </c>
      <c r="D66" s="23" t="s">
        <v>25</v>
      </c>
      <c r="E66" s="25" t="s">
        <v>15</v>
      </c>
      <c r="F66" s="9">
        <v>99532</v>
      </c>
      <c r="G66" s="10">
        <v>3.2150747E-2</v>
      </c>
      <c r="H66" s="11">
        <f t="shared" si="5"/>
        <v>3200.0281504039999</v>
      </c>
      <c r="I66" s="11">
        <f>1794.05*0.94</f>
        <v>1686.4069999999999</v>
      </c>
      <c r="J66" s="13">
        <f t="shared" si="3"/>
        <v>5396549.8730383581</v>
      </c>
      <c r="K66" s="53" t="s">
        <v>16</v>
      </c>
    </row>
    <row r="67" spans="1:11" ht="15.6" x14ac:dyDescent="0.3">
      <c r="A67" s="52">
        <v>44432</v>
      </c>
      <c r="B67" s="14" t="s">
        <v>14</v>
      </c>
      <c r="C67" s="25" t="s">
        <v>9</v>
      </c>
      <c r="D67" s="23" t="s">
        <v>25</v>
      </c>
      <c r="E67" s="25" t="s">
        <v>15</v>
      </c>
      <c r="F67" s="9">
        <v>124414</v>
      </c>
      <c r="G67" s="10">
        <v>3.2150747E-2</v>
      </c>
      <c r="H67" s="11">
        <f t="shared" si="5"/>
        <v>4000.0030372579999</v>
      </c>
      <c r="I67" s="11">
        <f>1808.45*0.94</f>
        <v>1699.943</v>
      </c>
      <c r="J67" s="13">
        <f t="shared" si="3"/>
        <v>6799777.1631654762</v>
      </c>
      <c r="K67" s="53" t="s">
        <v>16</v>
      </c>
    </row>
    <row r="68" spans="1:11" ht="15.6" x14ac:dyDescent="0.3">
      <c r="A68" s="52">
        <v>44439</v>
      </c>
      <c r="B68" s="14" t="s">
        <v>14</v>
      </c>
      <c r="C68" s="25" t="s">
        <v>9</v>
      </c>
      <c r="D68" s="23" t="s">
        <v>25</v>
      </c>
      <c r="E68" s="25" t="s">
        <v>15</v>
      </c>
      <c r="F68" s="9">
        <v>99530</v>
      </c>
      <c r="G68" s="10">
        <v>3.2150747E-2</v>
      </c>
      <c r="H68" s="11">
        <f t="shared" si="5"/>
        <v>3199.9638489100003</v>
      </c>
      <c r="I68" s="11">
        <f>1814.85*0.94</f>
        <v>1705.9589999999998</v>
      </c>
      <c r="J68" s="13">
        <f t="shared" si="3"/>
        <v>5459007.1277226545</v>
      </c>
      <c r="K68" s="53" t="s">
        <v>16</v>
      </c>
    </row>
    <row r="69" spans="1:11" ht="15.6" x14ac:dyDescent="0.3">
      <c r="A69" s="52">
        <v>44446</v>
      </c>
      <c r="B69" s="14" t="s">
        <v>14</v>
      </c>
      <c r="C69" s="25" t="s">
        <v>9</v>
      </c>
      <c r="D69" s="23" t="s">
        <v>25</v>
      </c>
      <c r="E69" s="25" t="s">
        <v>15</v>
      </c>
      <c r="F69" s="9">
        <v>124414</v>
      </c>
      <c r="G69" s="10">
        <v>3.2150747E-2</v>
      </c>
      <c r="H69" s="11">
        <f t="shared" si="5"/>
        <v>4000.0030372579999</v>
      </c>
      <c r="I69" s="11">
        <f>1810.75*0.94</f>
        <v>1702.1049999999998</v>
      </c>
      <c r="J69" s="13">
        <f t="shared" si="3"/>
        <v>6808425.1697320268</v>
      </c>
      <c r="K69" s="53" t="s">
        <v>16</v>
      </c>
    </row>
    <row r="70" spans="1:11" ht="15.6" x14ac:dyDescent="0.3">
      <c r="A70" s="52">
        <v>44446</v>
      </c>
      <c r="B70" s="14" t="s">
        <v>14</v>
      </c>
      <c r="C70" s="25" t="s">
        <v>9</v>
      </c>
      <c r="D70" s="23" t="s">
        <v>25</v>
      </c>
      <c r="E70" s="25" t="s">
        <v>15</v>
      </c>
      <c r="F70" s="9">
        <v>31104</v>
      </c>
      <c r="G70" s="10">
        <v>3.2150747E-2</v>
      </c>
      <c r="H70" s="11">
        <f t="shared" si="5"/>
        <v>1000.016834688</v>
      </c>
      <c r="I70" s="11">
        <f>1810.75*0.94</f>
        <v>1702.1049999999998</v>
      </c>
      <c r="J70" s="13">
        <f t="shared" si="3"/>
        <v>1702133.6544066181</v>
      </c>
      <c r="K70" s="53" t="s">
        <v>19</v>
      </c>
    </row>
    <row r="71" spans="1:11" ht="15.6" x14ac:dyDescent="0.3">
      <c r="A71" s="52">
        <v>44453</v>
      </c>
      <c r="B71" s="14" t="s">
        <v>14</v>
      </c>
      <c r="C71" s="25" t="s">
        <v>9</v>
      </c>
      <c r="D71" s="23" t="s">
        <v>25</v>
      </c>
      <c r="E71" s="25" t="s">
        <v>15</v>
      </c>
      <c r="F71" s="9">
        <v>124414</v>
      </c>
      <c r="G71" s="10">
        <v>3.2150747E-2</v>
      </c>
      <c r="H71" s="11">
        <f t="shared" si="5"/>
        <v>4000.0030372579999</v>
      </c>
      <c r="I71" s="11">
        <f>1792.75*0.94</f>
        <v>1685.1849999999999</v>
      </c>
      <c r="J71" s="13">
        <f t="shared" si="3"/>
        <v>6740745.1183416229</v>
      </c>
      <c r="K71" s="53" t="s">
        <v>16</v>
      </c>
    </row>
    <row r="72" spans="1:11" ht="15.6" x14ac:dyDescent="0.3">
      <c r="A72" s="52">
        <v>44460</v>
      </c>
      <c r="B72" s="14" t="s">
        <v>14</v>
      </c>
      <c r="C72" s="25" t="s">
        <v>9</v>
      </c>
      <c r="D72" s="23" t="s">
        <v>25</v>
      </c>
      <c r="E72" s="25" t="s">
        <v>15</v>
      </c>
      <c r="F72" s="8">
        <v>124414</v>
      </c>
      <c r="G72" s="5">
        <v>3.2150747E-2</v>
      </c>
      <c r="H72" s="6">
        <f t="shared" si="5"/>
        <v>4000.0030372579999</v>
      </c>
      <c r="I72" s="11">
        <f>1774.45*0.94</f>
        <v>1667.9829999999999</v>
      </c>
      <c r="J72" s="13">
        <f t="shared" si="3"/>
        <v>6671937.0660947105</v>
      </c>
      <c r="K72" s="53" t="s">
        <v>16</v>
      </c>
    </row>
    <row r="73" spans="1:11" ht="15.6" x14ac:dyDescent="0.3">
      <c r="A73" s="52">
        <v>44467</v>
      </c>
      <c r="B73" s="14" t="s">
        <v>14</v>
      </c>
      <c r="C73" s="25" t="s">
        <v>9</v>
      </c>
      <c r="D73" s="23" t="s">
        <v>25</v>
      </c>
      <c r="E73" s="25" t="s">
        <v>15</v>
      </c>
      <c r="F73" s="9">
        <v>149297</v>
      </c>
      <c r="G73" s="5">
        <v>3.2150747E-2</v>
      </c>
      <c r="H73" s="6">
        <f t="shared" si="5"/>
        <v>4800.0100748590003</v>
      </c>
      <c r="I73" s="11">
        <f>1739.65*0.94</f>
        <v>1635.271</v>
      </c>
      <c r="J73" s="13">
        <f t="shared" si="3"/>
        <v>7849317.275124752</v>
      </c>
      <c r="K73" s="53" t="s">
        <v>16</v>
      </c>
    </row>
    <row r="74" spans="1:11" ht="15.6" x14ac:dyDescent="0.3">
      <c r="A74" s="52">
        <v>44474</v>
      </c>
      <c r="B74" s="14" t="s">
        <v>14</v>
      </c>
      <c r="C74" s="25" t="s">
        <v>9</v>
      </c>
      <c r="D74" s="23" t="s">
        <v>25</v>
      </c>
      <c r="E74" s="25" t="s">
        <v>15</v>
      </c>
      <c r="F74" s="8">
        <v>124414</v>
      </c>
      <c r="G74" s="5">
        <v>3.2150747E-2</v>
      </c>
      <c r="H74" s="6">
        <f t="shared" ref="H74:H87" si="6">+F74*G74</f>
        <v>4000.0030372579999</v>
      </c>
      <c r="I74" s="11">
        <f>1758*0.94</f>
        <v>1652.52</v>
      </c>
      <c r="J74" s="13">
        <f t="shared" si="3"/>
        <v>6610085.0191295901</v>
      </c>
      <c r="K74" s="53" t="s">
        <v>16</v>
      </c>
    </row>
    <row r="75" spans="1:11" ht="15.6" x14ac:dyDescent="0.3">
      <c r="A75" s="52">
        <v>44476</v>
      </c>
      <c r="B75" s="14" t="s">
        <v>14</v>
      </c>
      <c r="C75" s="25" t="s">
        <v>9</v>
      </c>
      <c r="D75" s="23" t="s">
        <v>25</v>
      </c>
      <c r="E75" s="25" t="s">
        <v>15</v>
      </c>
      <c r="F75" s="8">
        <v>49766</v>
      </c>
      <c r="G75" s="5">
        <v>3.2150747E-2</v>
      </c>
      <c r="H75" s="6">
        <f t="shared" si="6"/>
        <v>1600.014075202</v>
      </c>
      <c r="I75" s="11">
        <f>1762.1*0.94</f>
        <v>1656.3739999999998</v>
      </c>
      <c r="J75" s="13">
        <f t="shared" si="3"/>
        <v>2650221.713798637</v>
      </c>
      <c r="K75" s="53" t="s">
        <v>16</v>
      </c>
    </row>
    <row r="76" spans="1:11" ht="15.6" x14ac:dyDescent="0.3">
      <c r="A76" s="52">
        <v>44484</v>
      </c>
      <c r="B76" s="14" t="s">
        <v>14</v>
      </c>
      <c r="C76" s="25" t="s">
        <v>9</v>
      </c>
      <c r="D76" s="23" t="s">
        <v>25</v>
      </c>
      <c r="E76" s="25" t="s">
        <v>15</v>
      </c>
      <c r="F76" s="8">
        <v>149297</v>
      </c>
      <c r="G76" s="5">
        <v>3.2150747E-2</v>
      </c>
      <c r="H76" s="6">
        <f t="shared" si="6"/>
        <v>4800.0100748590003</v>
      </c>
      <c r="I76" s="11">
        <f>1781.45*0.94</f>
        <v>1674.5629999999999</v>
      </c>
      <c r="J76" s="13">
        <f t="shared" si="3"/>
        <v>8037919.2709861118</v>
      </c>
      <c r="K76" s="53" t="s">
        <v>16</v>
      </c>
    </row>
    <row r="77" spans="1:11" ht="15.6" x14ac:dyDescent="0.3">
      <c r="A77" s="52">
        <v>44495</v>
      </c>
      <c r="B77" s="14" t="s">
        <v>14</v>
      </c>
      <c r="C77" s="25" t="s">
        <v>9</v>
      </c>
      <c r="D77" s="23" t="s">
        <v>25</v>
      </c>
      <c r="E77" s="25" t="s">
        <v>15</v>
      </c>
      <c r="F77" s="8">
        <v>124414</v>
      </c>
      <c r="G77" s="5">
        <v>3.2150747E-2</v>
      </c>
      <c r="H77" s="6">
        <f t="shared" si="6"/>
        <v>4000.0030372579999</v>
      </c>
      <c r="I77" s="11">
        <f>1801.9*0.94</f>
        <v>1693.7860000000001</v>
      </c>
      <c r="J77" s="13">
        <f t="shared" si="3"/>
        <v>6775149.1444650786</v>
      </c>
      <c r="K77" s="53" t="s">
        <v>16</v>
      </c>
    </row>
    <row r="78" spans="1:11" ht="15.6" x14ac:dyDescent="0.3">
      <c r="A78" s="52">
        <v>44495</v>
      </c>
      <c r="B78" s="14" t="s">
        <v>14</v>
      </c>
      <c r="C78" s="25" t="s">
        <v>9</v>
      </c>
      <c r="D78" s="23" t="s">
        <v>25</v>
      </c>
      <c r="E78" s="25" t="s">
        <v>15</v>
      </c>
      <c r="F78" s="8">
        <v>31104</v>
      </c>
      <c r="G78" s="5">
        <v>3.2150747E-2</v>
      </c>
      <c r="H78" s="6">
        <f t="shared" si="6"/>
        <v>1000.016834688</v>
      </c>
      <c r="I78" s="11">
        <f>1801.9*0.94</f>
        <v>1693.7860000000001</v>
      </c>
      <c r="J78" s="13">
        <f t="shared" si="3"/>
        <v>1693814.5143588488</v>
      </c>
      <c r="K78" s="53" t="s">
        <v>19</v>
      </c>
    </row>
    <row r="79" spans="1:11" ht="15.6" x14ac:dyDescent="0.3">
      <c r="A79" s="52">
        <v>44497</v>
      </c>
      <c r="B79" s="14" t="s">
        <v>14</v>
      </c>
      <c r="C79" s="25" t="s">
        <v>9</v>
      </c>
      <c r="D79" s="23" t="s">
        <v>25</v>
      </c>
      <c r="E79" s="25" t="s">
        <v>15</v>
      </c>
      <c r="F79" s="20">
        <v>74649</v>
      </c>
      <c r="G79" s="5">
        <v>3.2150747E-2</v>
      </c>
      <c r="H79" s="6">
        <f t="shared" si="6"/>
        <v>2400.0211128030001</v>
      </c>
      <c r="I79" s="11">
        <f>1803.5*0.94</f>
        <v>1695.29</v>
      </c>
      <c r="J79" s="13">
        <f t="shared" si="3"/>
        <v>4068731.7923237979</v>
      </c>
      <c r="K79" s="53" t="s">
        <v>16</v>
      </c>
    </row>
    <row r="80" spans="1:11" ht="15.6" x14ac:dyDescent="0.3">
      <c r="A80" s="52">
        <v>44502</v>
      </c>
      <c r="B80" s="14" t="s">
        <v>14</v>
      </c>
      <c r="C80" s="25" t="s">
        <v>9</v>
      </c>
      <c r="D80" s="23" t="s">
        <v>25</v>
      </c>
      <c r="E80" s="25" t="s">
        <v>15</v>
      </c>
      <c r="F80" s="20">
        <v>124414</v>
      </c>
      <c r="G80" s="5">
        <v>3.2150747E-2</v>
      </c>
      <c r="H80" s="6">
        <f t="shared" si="6"/>
        <v>4000.0030372579999</v>
      </c>
      <c r="I80" s="6">
        <f>1791.5*0.94</f>
        <v>1684.01</v>
      </c>
      <c r="J80" s="13">
        <f t="shared" si="3"/>
        <v>6736045.1147728441</v>
      </c>
      <c r="K80" s="53" t="s">
        <v>16</v>
      </c>
    </row>
    <row r="81" spans="1:11" ht="15.6" x14ac:dyDescent="0.3">
      <c r="A81" s="52">
        <v>44509</v>
      </c>
      <c r="B81" s="14" t="s">
        <v>14</v>
      </c>
      <c r="C81" s="25" t="s">
        <v>9</v>
      </c>
      <c r="D81" s="23" t="s">
        <v>25</v>
      </c>
      <c r="E81" s="25" t="s">
        <v>15</v>
      </c>
      <c r="F81" s="20">
        <v>124414</v>
      </c>
      <c r="G81" s="5">
        <v>3.2150747E-2</v>
      </c>
      <c r="H81" s="6">
        <f t="shared" si="6"/>
        <v>4000.0030372579999</v>
      </c>
      <c r="I81" s="6">
        <f>1827.3*0.94</f>
        <v>1717.6619999999998</v>
      </c>
      <c r="J81" s="13">
        <f t="shared" si="3"/>
        <v>6870653.2169826496</v>
      </c>
      <c r="K81" s="53" t="s">
        <v>16</v>
      </c>
    </row>
    <row r="82" spans="1:11" ht="15.6" x14ac:dyDescent="0.3">
      <c r="A82" s="52">
        <v>44516</v>
      </c>
      <c r="B82" s="14" t="s">
        <v>14</v>
      </c>
      <c r="C82" s="25" t="s">
        <v>9</v>
      </c>
      <c r="D82" s="23" t="s">
        <v>25</v>
      </c>
      <c r="E82" s="25" t="s">
        <v>15</v>
      </c>
      <c r="F82" s="20">
        <v>199063</v>
      </c>
      <c r="G82" s="5">
        <v>3.2150747E-2</v>
      </c>
      <c r="H82" s="6">
        <f t="shared" si="6"/>
        <v>6400.024150061</v>
      </c>
      <c r="I82" s="6">
        <f>1872.25*0.94</f>
        <v>1759.915</v>
      </c>
      <c r="J82" s="13">
        <f t="shared" si="3"/>
        <v>11263498.502054604</v>
      </c>
      <c r="K82" s="53" t="s">
        <v>16</v>
      </c>
    </row>
    <row r="83" spans="1:11" ht="15.6" x14ac:dyDescent="0.3">
      <c r="A83" s="52">
        <v>44523</v>
      </c>
      <c r="B83" s="14" t="s">
        <v>14</v>
      </c>
      <c r="C83" s="25" t="s">
        <v>9</v>
      </c>
      <c r="D83" s="23" t="s">
        <v>25</v>
      </c>
      <c r="E83" s="25" t="s">
        <v>15</v>
      </c>
      <c r="F83" s="20">
        <v>124414</v>
      </c>
      <c r="G83" s="5">
        <v>3.2150747E-2</v>
      </c>
      <c r="H83" s="6">
        <f t="shared" si="6"/>
        <v>4000.0030372579999</v>
      </c>
      <c r="I83" s="6">
        <f>1797.3*0.94</f>
        <v>1689.4619999999998</v>
      </c>
      <c r="J83" s="13">
        <f t="shared" si="3"/>
        <v>6757853.1313319737</v>
      </c>
      <c r="K83" s="53" t="s">
        <v>16</v>
      </c>
    </row>
    <row r="84" spans="1:11" ht="15.6" x14ac:dyDescent="0.3">
      <c r="A84" s="52">
        <v>44530</v>
      </c>
      <c r="B84" s="14" t="s">
        <v>14</v>
      </c>
      <c r="C84" s="25" t="s">
        <v>9</v>
      </c>
      <c r="D84" s="23" t="s">
        <v>25</v>
      </c>
      <c r="E84" s="25" t="s">
        <v>15</v>
      </c>
      <c r="F84" s="20">
        <v>124414</v>
      </c>
      <c r="G84" s="5">
        <v>3.2150747E-2</v>
      </c>
      <c r="H84" s="6">
        <f t="shared" si="6"/>
        <v>4000.0030372579999</v>
      </c>
      <c r="I84" s="6">
        <f>1804.4*0.94</f>
        <v>1696.136</v>
      </c>
      <c r="J84" s="13">
        <f t="shared" si="3"/>
        <v>6784549.1516026352</v>
      </c>
      <c r="K84" s="53" t="s">
        <v>16</v>
      </c>
    </row>
    <row r="85" spans="1:11" ht="15.6" x14ac:dyDescent="0.3">
      <c r="A85" s="52">
        <v>44532</v>
      </c>
      <c r="B85" s="14" t="s">
        <v>14</v>
      </c>
      <c r="C85" s="25" t="s">
        <v>9</v>
      </c>
      <c r="D85" s="23" t="s">
        <v>25</v>
      </c>
      <c r="E85" s="25" t="s">
        <v>15</v>
      </c>
      <c r="F85" s="20">
        <v>31104</v>
      </c>
      <c r="G85" s="5">
        <v>3.2150747E-2</v>
      </c>
      <c r="H85" s="6">
        <f t="shared" si="6"/>
        <v>1000.016834688</v>
      </c>
      <c r="I85" s="6">
        <f>1775.7*0.94</f>
        <v>1669.1579999999999</v>
      </c>
      <c r="J85" s="13">
        <f t="shared" si="3"/>
        <v>1669186.0997541526</v>
      </c>
      <c r="K85" s="53" t="s">
        <v>19</v>
      </c>
    </row>
    <row r="86" spans="1:11" ht="15.6" x14ac:dyDescent="0.3">
      <c r="A86" s="52">
        <v>44538</v>
      </c>
      <c r="B86" s="14" t="s">
        <v>14</v>
      </c>
      <c r="C86" s="25" t="s">
        <v>9</v>
      </c>
      <c r="D86" s="23" t="s">
        <v>25</v>
      </c>
      <c r="E86" s="25" t="s">
        <v>15</v>
      </c>
      <c r="F86" s="20">
        <v>124414</v>
      </c>
      <c r="G86" s="5">
        <v>3.2150747E-2</v>
      </c>
      <c r="H86" s="6">
        <f t="shared" si="6"/>
        <v>4000.0030372579999</v>
      </c>
      <c r="I86" s="6">
        <f>1789.8*0.94</f>
        <v>1682.4119999999998</v>
      </c>
      <c r="J86" s="13">
        <f t="shared" si="3"/>
        <v>6729653.1099193059</v>
      </c>
      <c r="K86" s="53" t="s">
        <v>16</v>
      </c>
    </row>
    <row r="87" spans="1:11" ht="15.6" x14ac:dyDescent="0.3">
      <c r="A87" s="52">
        <v>44544</v>
      </c>
      <c r="B87" s="14" t="s">
        <v>14</v>
      </c>
      <c r="C87" s="25" t="s">
        <v>9</v>
      </c>
      <c r="D87" s="23" t="s">
        <v>25</v>
      </c>
      <c r="E87" s="25" t="s">
        <v>15</v>
      </c>
      <c r="F87" s="20">
        <v>99532</v>
      </c>
      <c r="G87" s="5">
        <v>3.2150747E-2</v>
      </c>
      <c r="H87" s="6">
        <f t="shared" si="6"/>
        <v>3200.0281504039999</v>
      </c>
      <c r="I87" s="6">
        <f>1782.35*0.94</f>
        <v>1675.4089999999999</v>
      </c>
      <c r="J87" s="13">
        <f t="shared" si="3"/>
        <v>5361355.9634402143</v>
      </c>
      <c r="K87" s="53" t="s">
        <v>16</v>
      </c>
    </row>
    <row r="88" spans="1:11" ht="15.6" x14ac:dyDescent="0.3">
      <c r="A88" s="52">
        <v>44547</v>
      </c>
      <c r="B88" s="14" t="s">
        <v>14</v>
      </c>
      <c r="C88" s="25" t="s">
        <v>9</v>
      </c>
      <c r="D88" s="23" t="s">
        <v>25</v>
      </c>
      <c r="E88" s="25" t="s">
        <v>15</v>
      </c>
      <c r="F88" s="20">
        <v>31104</v>
      </c>
      <c r="G88" s="5">
        <v>3.2150747E-2</v>
      </c>
      <c r="H88" s="6">
        <f t="shared" ref="H88:H93" si="7">F88*G88</f>
        <v>1000.016834688</v>
      </c>
      <c r="I88" s="6">
        <f>1807.7*0.94</f>
        <v>1699.2380000000001</v>
      </c>
      <c r="J88" s="13">
        <f t="shared" si="3"/>
        <v>1699266.6061415679</v>
      </c>
      <c r="K88" s="53" t="s">
        <v>19</v>
      </c>
    </row>
    <row r="89" spans="1:11" ht="15.6" x14ac:dyDescent="0.3">
      <c r="A89" s="52">
        <v>44551</v>
      </c>
      <c r="B89" s="14" t="s">
        <v>14</v>
      </c>
      <c r="C89" s="25" t="s">
        <v>9</v>
      </c>
      <c r="D89" s="23" t="s">
        <v>25</v>
      </c>
      <c r="E89" s="25" t="s">
        <v>15</v>
      </c>
      <c r="F89" s="20">
        <v>24883</v>
      </c>
      <c r="G89" s="5">
        <v>3.2150747E-2</v>
      </c>
      <c r="H89" s="6">
        <f t="shared" si="7"/>
        <v>800.00703760099998</v>
      </c>
      <c r="I89" s="6">
        <f>1795.85*0.94</f>
        <v>1688.0989999999997</v>
      </c>
      <c r="J89" s="13">
        <f t="shared" si="3"/>
        <v>1350491.0801672102</v>
      </c>
      <c r="K89" s="53" t="s">
        <v>16</v>
      </c>
    </row>
    <row r="90" spans="1:11" ht="15.6" x14ac:dyDescent="0.3">
      <c r="A90" s="52">
        <v>44551</v>
      </c>
      <c r="B90" s="14" t="s">
        <v>14</v>
      </c>
      <c r="C90" s="25" t="s">
        <v>9</v>
      </c>
      <c r="D90" s="23" t="s">
        <v>25</v>
      </c>
      <c r="E90" s="25" t="s">
        <v>15</v>
      </c>
      <c r="F90" s="20">
        <v>99532</v>
      </c>
      <c r="G90" s="5">
        <v>3.2150747E-2</v>
      </c>
      <c r="H90" s="6">
        <f t="shared" si="7"/>
        <v>3200.0281504039999</v>
      </c>
      <c r="I90" s="6">
        <f>1795.85*0.94</f>
        <v>1688.0989999999997</v>
      </c>
      <c r="J90" s="13">
        <f t="shared" si="3"/>
        <v>5401964.3206688408</v>
      </c>
      <c r="K90" s="53" t="s">
        <v>16</v>
      </c>
    </row>
    <row r="91" spans="1:11" ht="15.6" x14ac:dyDescent="0.3">
      <c r="A91" s="52">
        <v>44558</v>
      </c>
      <c r="B91" s="14" t="s">
        <v>14</v>
      </c>
      <c r="C91" s="25" t="s">
        <v>9</v>
      </c>
      <c r="D91" s="23" t="s">
        <v>25</v>
      </c>
      <c r="E91" s="25" t="s">
        <v>15</v>
      </c>
      <c r="F91" s="20">
        <v>124414</v>
      </c>
      <c r="G91" s="5">
        <v>3.2150747E-2</v>
      </c>
      <c r="H91" s="6">
        <f t="shared" si="7"/>
        <v>4000.0030372579999</v>
      </c>
      <c r="I91" s="6">
        <f>1786.05*0.94</f>
        <v>1678.8869999999999</v>
      </c>
      <c r="J91" s="13">
        <f t="shared" si="3"/>
        <v>6715553.0992129715</v>
      </c>
      <c r="K91" s="53" t="s">
        <v>16</v>
      </c>
    </row>
    <row r="92" spans="1:11" ht="15.6" x14ac:dyDescent="0.3">
      <c r="A92" s="52">
        <v>44558</v>
      </c>
      <c r="B92" s="14" t="s">
        <v>14</v>
      </c>
      <c r="C92" s="25" t="s">
        <v>9</v>
      </c>
      <c r="D92" s="23" t="s">
        <v>25</v>
      </c>
      <c r="E92" s="25" t="s">
        <v>15</v>
      </c>
      <c r="F92" s="20">
        <v>24883</v>
      </c>
      <c r="G92" s="5">
        <v>3.2150747E-2</v>
      </c>
      <c r="H92" s="6">
        <f t="shared" si="7"/>
        <v>800.00703760099998</v>
      </c>
      <c r="I92" s="6">
        <f>1786.05*0.94</f>
        <v>1678.8869999999999</v>
      </c>
      <c r="J92" s="13">
        <f t="shared" si="3"/>
        <v>1343121.4153368301</v>
      </c>
      <c r="K92" s="53" t="s">
        <v>16</v>
      </c>
    </row>
    <row r="93" spans="1:11" ht="16.2" thickBot="1" x14ac:dyDescent="0.35">
      <c r="A93" s="91">
        <v>44561</v>
      </c>
      <c r="B93" s="92" t="s">
        <v>14</v>
      </c>
      <c r="C93" s="93" t="s">
        <v>9</v>
      </c>
      <c r="D93" s="78" t="s">
        <v>25</v>
      </c>
      <c r="E93" s="93" t="s">
        <v>15</v>
      </c>
      <c r="F93" s="94">
        <v>49765</v>
      </c>
      <c r="G93" s="80">
        <v>3.2150747E-2</v>
      </c>
      <c r="H93" s="95">
        <f t="shared" si="7"/>
        <v>1599.9819244550001</v>
      </c>
      <c r="I93" s="81">
        <f>1820.1*0.94</f>
        <v>1710.8939999999998</v>
      </c>
      <c r="J93" s="96">
        <f t="shared" si="3"/>
        <v>2737399.4746585125</v>
      </c>
      <c r="K93" s="53" t="s">
        <v>16</v>
      </c>
    </row>
    <row r="94" spans="1:11" ht="16.2" thickBot="1" x14ac:dyDescent="0.35">
      <c r="A94" s="146" t="s">
        <v>41</v>
      </c>
      <c r="B94" s="146"/>
      <c r="C94" s="146"/>
      <c r="D94" s="146"/>
      <c r="E94" s="146"/>
      <c r="F94" s="100">
        <f>SUM(F22:F93)</f>
        <v>6779334</v>
      </c>
      <c r="G94" s="88"/>
      <c r="H94" s="101">
        <f>SUM(H22:H93)</f>
        <v>217786.70226249774</v>
      </c>
      <c r="I94" s="90"/>
      <c r="J94" s="102">
        <f>SUM(J22:J93)</f>
        <v>370821137.72714102</v>
      </c>
      <c r="K94" s="53"/>
    </row>
    <row r="95" spans="1:11" ht="15.6" x14ac:dyDescent="0.3">
      <c r="A95" s="41">
        <v>44222</v>
      </c>
      <c r="B95" s="97" t="s">
        <v>20</v>
      </c>
      <c r="C95" s="84" t="s">
        <v>9</v>
      </c>
      <c r="D95" s="85" t="s">
        <v>25</v>
      </c>
      <c r="E95" s="98" t="s">
        <v>15</v>
      </c>
      <c r="F95" s="68">
        <v>251077.3</v>
      </c>
      <c r="G95" s="69"/>
      <c r="H95" s="70">
        <v>8083.76</v>
      </c>
      <c r="I95" s="99">
        <v>1875.4697699999999</v>
      </c>
      <c r="J95" s="71">
        <f t="shared" ref="J95:J102" si="8">I95*H95*0.92</f>
        <v>13947979.707300384</v>
      </c>
      <c r="K95" s="53" t="s">
        <v>21</v>
      </c>
    </row>
    <row r="96" spans="1:11" ht="15.6" x14ac:dyDescent="0.3">
      <c r="A96" s="44">
        <v>44278</v>
      </c>
      <c r="B96" s="12" t="s">
        <v>20</v>
      </c>
      <c r="C96" s="24" t="s">
        <v>9</v>
      </c>
      <c r="D96" s="23" t="s">
        <v>25</v>
      </c>
      <c r="E96" s="27" t="s">
        <v>15</v>
      </c>
      <c r="F96" s="21">
        <v>420159</v>
      </c>
      <c r="G96" s="5"/>
      <c r="H96" s="6">
        <v>13530</v>
      </c>
      <c r="I96" s="6">
        <v>1770.6246000000001</v>
      </c>
      <c r="J96" s="13">
        <f t="shared" si="8"/>
        <v>22040026.770959999</v>
      </c>
      <c r="K96" s="53" t="s">
        <v>21</v>
      </c>
    </row>
    <row r="97" spans="1:11" ht="15.6" x14ac:dyDescent="0.3">
      <c r="A97" s="44">
        <v>44313</v>
      </c>
      <c r="B97" s="12" t="s">
        <v>20</v>
      </c>
      <c r="C97" s="24" t="s">
        <v>9</v>
      </c>
      <c r="D97" s="23" t="s">
        <v>25</v>
      </c>
      <c r="E97" s="27" t="s">
        <v>15</v>
      </c>
      <c r="F97" s="21">
        <v>289145</v>
      </c>
      <c r="G97" s="5"/>
      <c r="H97" s="6">
        <v>9313.08</v>
      </c>
      <c r="I97" s="6">
        <v>1738.8589999999999</v>
      </c>
      <c r="J97" s="13">
        <f t="shared" si="8"/>
        <v>14898602.337662401</v>
      </c>
      <c r="K97" s="53" t="s">
        <v>21</v>
      </c>
    </row>
    <row r="98" spans="1:11" ht="15.6" x14ac:dyDescent="0.3">
      <c r="A98" s="44">
        <v>44341</v>
      </c>
      <c r="B98" s="12" t="s">
        <v>20</v>
      </c>
      <c r="C98" s="24" t="s">
        <v>9</v>
      </c>
      <c r="D98" s="23" t="s">
        <v>25</v>
      </c>
      <c r="E98" s="27" t="s">
        <v>15</v>
      </c>
      <c r="F98" s="21">
        <v>227685</v>
      </c>
      <c r="G98" s="5"/>
      <c r="H98" s="6">
        <v>7345.87</v>
      </c>
      <c r="I98" s="6">
        <v>1827.299</v>
      </c>
      <c r="J98" s="13">
        <f t="shared" si="8"/>
        <v>12349252.8327196</v>
      </c>
      <c r="K98" s="53" t="s">
        <v>21</v>
      </c>
    </row>
    <row r="99" spans="1:11" ht="15.6" x14ac:dyDescent="0.3">
      <c r="A99" s="44">
        <v>44376</v>
      </c>
      <c r="B99" s="12" t="s">
        <v>20</v>
      </c>
      <c r="C99" s="24" t="s">
        <v>9</v>
      </c>
      <c r="D99" s="23" t="s">
        <v>25</v>
      </c>
      <c r="E99" s="27" t="s">
        <v>15</v>
      </c>
      <c r="F99" s="21">
        <v>221497</v>
      </c>
      <c r="G99" s="10"/>
      <c r="H99" s="6">
        <v>7127.11</v>
      </c>
      <c r="I99" s="6">
        <v>1860.5856000000001</v>
      </c>
      <c r="J99" s="13">
        <f t="shared" si="8"/>
        <v>12199750.376766721</v>
      </c>
      <c r="K99" s="53" t="s">
        <v>21</v>
      </c>
    </row>
    <row r="100" spans="1:11" ht="15.6" x14ac:dyDescent="0.3">
      <c r="A100" s="44">
        <v>44432</v>
      </c>
      <c r="B100" s="12" t="s">
        <v>20</v>
      </c>
      <c r="C100" s="24" t="s">
        <v>9</v>
      </c>
      <c r="D100" s="23" t="s">
        <v>25</v>
      </c>
      <c r="E100" s="27" t="s">
        <v>15</v>
      </c>
      <c r="F100" s="21">
        <v>492918</v>
      </c>
      <c r="G100" s="5"/>
      <c r="H100" s="6">
        <v>15862.86</v>
      </c>
      <c r="I100" s="6">
        <v>1799.2139999999999</v>
      </c>
      <c r="J100" s="13">
        <f t="shared" si="8"/>
        <v>26257425.408676803</v>
      </c>
      <c r="K100" s="53" t="s">
        <v>21</v>
      </c>
    </row>
    <row r="101" spans="1:11" ht="15.6" x14ac:dyDescent="0.3">
      <c r="A101" s="44">
        <v>44495</v>
      </c>
      <c r="B101" s="12" t="s">
        <v>20</v>
      </c>
      <c r="C101" s="24" t="s">
        <v>9</v>
      </c>
      <c r="D101" s="23" t="s">
        <v>25</v>
      </c>
      <c r="E101" s="27" t="s">
        <v>15</v>
      </c>
      <c r="F101" s="21">
        <v>584599.4</v>
      </c>
      <c r="G101" s="5"/>
      <c r="H101" s="6">
        <v>18852.59</v>
      </c>
      <c r="I101" s="6">
        <v>1783.04</v>
      </c>
      <c r="J101" s="13">
        <f t="shared" si="8"/>
        <v>30925728.307712004</v>
      </c>
      <c r="K101" s="53" t="s">
        <v>21</v>
      </c>
    </row>
    <row r="102" spans="1:11" ht="16.2" thickBot="1" x14ac:dyDescent="0.35">
      <c r="A102" s="60">
        <v>44551</v>
      </c>
      <c r="B102" s="103" t="s">
        <v>20</v>
      </c>
      <c r="C102" s="104" t="s">
        <v>9</v>
      </c>
      <c r="D102" s="78" t="s">
        <v>25</v>
      </c>
      <c r="E102" s="105" t="s">
        <v>15</v>
      </c>
      <c r="F102" s="106">
        <v>546311</v>
      </c>
      <c r="G102" s="80"/>
      <c r="H102" s="81">
        <v>17599.78</v>
      </c>
      <c r="I102" s="81">
        <v>1811.2</v>
      </c>
      <c r="J102" s="96">
        <f t="shared" si="8"/>
        <v>29326583.81312</v>
      </c>
      <c r="K102" s="53" t="s">
        <v>21</v>
      </c>
    </row>
    <row r="103" spans="1:11" ht="16.2" thickBot="1" x14ac:dyDescent="0.35">
      <c r="A103" s="146" t="s">
        <v>41</v>
      </c>
      <c r="B103" s="146"/>
      <c r="C103" s="146"/>
      <c r="D103" s="146"/>
      <c r="E103" s="146"/>
      <c r="F103" s="107">
        <f>SUM(F95:F102)</f>
        <v>3033391.7</v>
      </c>
      <c r="G103" s="88"/>
      <c r="H103" s="89">
        <f>SUM(H95:H102)</f>
        <v>97715.05</v>
      </c>
      <c r="I103" s="90"/>
      <c r="J103" s="102">
        <f>SUM(J95:J102)</f>
        <v>161945349.5549179</v>
      </c>
      <c r="K103" s="72"/>
    </row>
    <row r="104" spans="1:11" ht="15.6" x14ac:dyDescent="0.3">
      <c r="A104" s="41">
        <v>44201</v>
      </c>
      <c r="B104" s="42" t="s">
        <v>32</v>
      </c>
      <c r="C104" s="43" t="s">
        <v>9</v>
      </c>
      <c r="D104" s="43" t="s">
        <v>25</v>
      </c>
      <c r="E104" s="43" t="s">
        <v>15</v>
      </c>
      <c r="F104" s="28">
        <v>94452</v>
      </c>
      <c r="G104" s="29">
        <v>3.2150747E-2</v>
      </c>
      <c r="H104" s="30">
        <f t="shared" ref="H104:H118" si="9">+F104*G104</f>
        <v>3036.7023556439999</v>
      </c>
      <c r="I104" s="30">
        <v>1945.2</v>
      </c>
      <c r="J104" s="30">
        <f t="shared" ref="J104:J123" si="10">+H104*I104</f>
        <v>5906993.4221987091</v>
      </c>
      <c r="K104" s="58" t="s">
        <v>33</v>
      </c>
    </row>
    <row r="105" spans="1:11" ht="15.6" x14ac:dyDescent="0.3">
      <c r="A105" s="44">
        <v>44231</v>
      </c>
      <c r="B105" s="42" t="s">
        <v>32</v>
      </c>
      <c r="C105" s="43" t="s">
        <v>9</v>
      </c>
      <c r="D105" s="43" t="s">
        <v>25</v>
      </c>
      <c r="E105" s="43" t="s">
        <v>15</v>
      </c>
      <c r="F105" s="31">
        <v>132011</v>
      </c>
      <c r="G105" s="32">
        <v>3.2150747E-2</v>
      </c>
      <c r="H105" s="33">
        <f t="shared" si="9"/>
        <v>4244.252262217</v>
      </c>
      <c r="I105" s="33">
        <v>1818.1</v>
      </c>
      <c r="J105" s="33">
        <f t="shared" si="10"/>
        <v>7716475.0379367275</v>
      </c>
      <c r="K105" s="58" t="s">
        <v>33</v>
      </c>
    </row>
    <row r="106" spans="1:11" ht="15.6" x14ac:dyDescent="0.3">
      <c r="A106" s="44">
        <v>44271</v>
      </c>
      <c r="B106" s="42" t="s">
        <v>32</v>
      </c>
      <c r="C106" s="43" t="s">
        <v>9</v>
      </c>
      <c r="D106" s="43" t="s">
        <v>25</v>
      </c>
      <c r="E106" s="43" t="s">
        <v>15</v>
      </c>
      <c r="F106" s="31">
        <v>39023</v>
      </c>
      <c r="G106" s="32">
        <v>3.2150747E-2</v>
      </c>
      <c r="H106" s="33">
        <f t="shared" si="9"/>
        <v>1254.6186001809999</v>
      </c>
      <c r="I106" s="33">
        <v>1731.33</v>
      </c>
      <c r="J106" s="33">
        <f t="shared" si="10"/>
        <v>2172158.8210513704</v>
      </c>
      <c r="K106" s="58" t="s">
        <v>33</v>
      </c>
    </row>
    <row r="107" spans="1:11" ht="15.6" x14ac:dyDescent="0.3">
      <c r="A107" s="44" t="s">
        <v>28</v>
      </c>
      <c r="B107" s="42" t="s">
        <v>32</v>
      </c>
      <c r="C107" s="43" t="s">
        <v>9</v>
      </c>
      <c r="D107" s="43" t="s">
        <v>25</v>
      </c>
      <c r="E107" s="43" t="s">
        <v>15</v>
      </c>
      <c r="F107" s="31">
        <v>34628</v>
      </c>
      <c r="G107" s="32">
        <v>3.2150747E-2</v>
      </c>
      <c r="H107" s="33">
        <f t="shared" si="9"/>
        <v>1113.3160671160001</v>
      </c>
      <c r="I107" s="33">
        <v>1685.83</v>
      </c>
      <c r="J107" s="33">
        <f t="shared" si="10"/>
        <v>1876861.6254261665</v>
      </c>
      <c r="K107" s="58" t="s">
        <v>33</v>
      </c>
    </row>
    <row r="108" spans="1:11" ht="15.6" x14ac:dyDescent="0.3">
      <c r="A108" s="45" t="s">
        <v>29</v>
      </c>
      <c r="B108" s="42" t="s">
        <v>32</v>
      </c>
      <c r="C108" s="43" t="s">
        <v>9</v>
      </c>
      <c r="D108" s="43" t="s">
        <v>25</v>
      </c>
      <c r="E108" s="43" t="s">
        <v>15</v>
      </c>
      <c r="F108" s="37">
        <v>62767</v>
      </c>
      <c r="G108" s="32">
        <v>3.2150747E-2</v>
      </c>
      <c r="H108" s="33">
        <f t="shared" si="9"/>
        <v>2018.005936949</v>
      </c>
      <c r="I108" s="33">
        <v>1731.66</v>
      </c>
      <c r="J108" s="33">
        <f t="shared" si="10"/>
        <v>3494500.1607771055</v>
      </c>
      <c r="K108" s="58" t="s">
        <v>33</v>
      </c>
    </row>
    <row r="109" spans="1:11" ht="15.6" x14ac:dyDescent="0.3">
      <c r="A109" s="44">
        <v>44320</v>
      </c>
      <c r="B109" s="42" t="s">
        <v>32</v>
      </c>
      <c r="C109" s="43" t="s">
        <v>9</v>
      </c>
      <c r="D109" s="43" t="s">
        <v>25</v>
      </c>
      <c r="E109" s="43" t="s">
        <v>15</v>
      </c>
      <c r="F109" s="38">
        <v>62617</v>
      </c>
      <c r="G109" s="32">
        <v>3.2150747E-2</v>
      </c>
      <c r="H109" s="33">
        <f t="shared" si="9"/>
        <v>2013.1833248990001</v>
      </c>
      <c r="I109" s="39">
        <v>1791.66</v>
      </c>
      <c r="J109" s="33">
        <f t="shared" si="10"/>
        <v>3606940.0358885429</v>
      </c>
      <c r="K109" s="58" t="s">
        <v>33</v>
      </c>
    </row>
    <row r="110" spans="1:11" ht="15.6" x14ac:dyDescent="0.3">
      <c r="A110" s="44">
        <v>44341</v>
      </c>
      <c r="B110" s="42" t="s">
        <v>32</v>
      </c>
      <c r="C110" s="43" t="s">
        <v>9</v>
      </c>
      <c r="D110" s="43" t="s">
        <v>25</v>
      </c>
      <c r="E110" s="43" t="s">
        <v>15</v>
      </c>
      <c r="F110" s="38">
        <v>48328</v>
      </c>
      <c r="G110" s="32">
        <v>3.2150747E-2</v>
      </c>
      <c r="H110" s="33">
        <f t="shared" si="9"/>
        <v>1553.781301016</v>
      </c>
      <c r="I110" s="39">
        <v>1882.93</v>
      </c>
      <c r="J110" s="33">
        <f t="shared" si="10"/>
        <v>2925661.4251220571</v>
      </c>
      <c r="K110" s="58" t="s">
        <v>33</v>
      </c>
    </row>
    <row r="111" spans="1:11" ht="15.6" x14ac:dyDescent="0.3">
      <c r="A111" s="44">
        <v>44369</v>
      </c>
      <c r="B111" s="42" t="s">
        <v>32</v>
      </c>
      <c r="C111" s="43" t="s">
        <v>9</v>
      </c>
      <c r="D111" s="43" t="s">
        <v>25</v>
      </c>
      <c r="E111" s="43" t="s">
        <v>15</v>
      </c>
      <c r="F111" s="34">
        <v>188018</v>
      </c>
      <c r="G111" s="35">
        <v>3.2150747E-2</v>
      </c>
      <c r="H111" s="36">
        <f t="shared" si="9"/>
        <v>6044.9191494460001</v>
      </c>
      <c r="I111" s="36">
        <v>1791.66</v>
      </c>
      <c r="J111" s="36">
        <f t="shared" si="10"/>
        <v>10830439.843296422</v>
      </c>
      <c r="K111" s="58" t="s">
        <v>33</v>
      </c>
    </row>
    <row r="112" spans="1:11" ht="15.6" x14ac:dyDescent="0.3">
      <c r="A112" s="44">
        <v>44376</v>
      </c>
      <c r="B112" s="42" t="s">
        <v>32</v>
      </c>
      <c r="C112" s="43" t="s">
        <v>9</v>
      </c>
      <c r="D112" s="43" t="s">
        <v>25</v>
      </c>
      <c r="E112" s="43" t="s">
        <v>15</v>
      </c>
      <c r="F112" s="34">
        <v>41944</v>
      </c>
      <c r="G112" s="35">
        <v>3.2150747E-2</v>
      </c>
      <c r="H112" s="36">
        <f t="shared" si="9"/>
        <v>1348.5309321679999</v>
      </c>
      <c r="I112" s="36">
        <v>1775.93</v>
      </c>
      <c r="J112" s="36">
        <f t="shared" si="10"/>
        <v>2394896.5383651163</v>
      </c>
      <c r="K112" s="58" t="s">
        <v>33</v>
      </c>
    </row>
    <row r="113" spans="1:11" ht="15.6" x14ac:dyDescent="0.3">
      <c r="A113" s="44">
        <v>44397</v>
      </c>
      <c r="B113" s="42" t="s">
        <v>32</v>
      </c>
      <c r="C113" s="43" t="s">
        <v>9</v>
      </c>
      <c r="D113" s="43" t="s">
        <v>25</v>
      </c>
      <c r="E113" s="43" t="s">
        <v>15</v>
      </c>
      <c r="F113" s="31">
        <v>40850</v>
      </c>
      <c r="G113" s="32">
        <v>3.2150747E-2</v>
      </c>
      <c r="H113" s="33">
        <f t="shared" si="9"/>
        <v>1313.3580149500001</v>
      </c>
      <c r="I113" s="40">
        <v>1813.5</v>
      </c>
      <c r="J113" s="33">
        <f t="shared" si="10"/>
        <v>2381774.7601118251</v>
      </c>
      <c r="K113" s="58" t="s">
        <v>33</v>
      </c>
    </row>
    <row r="114" spans="1:11" ht="15.6" x14ac:dyDescent="0.3">
      <c r="A114" s="44">
        <v>44439</v>
      </c>
      <c r="B114" s="42" t="s">
        <v>32</v>
      </c>
      <c r="C114" s="43" t="s">
        <v>9</v>
      </c>
      <c r="D114" s="43" t="s">
        <v>25</v>
      </c>
      <c r="E114" s="43" t="s">
        <v>15</v>
      </c>
      <c r="F114" s="31">
        <v>93619</v>
      </c>
      <c r="G114" s="32">
        <v>3.2150747E-2</v>
      </c>
      <c r="H114" s="33">
        <f t="shared" si="9"/>
        <v>3009.920783393</v>
      </c>
      <c r="I114" s="33">
        <v>1705.96</v>
      </c>
      <c r="J114" s="33">
        <f>+H114*I114</f>
        <v>5134804.4596371222</v>
      </c>
      <c r="K114" s="58" t="s">
        <v>33</v>
      </c>
    </row>
    <row r="115" spans="1:11" ht="15.6" x14ac:dyDescent="0.3">
      <c r="A115" s="44">
        <v>44460</v>
      </c>
      <c r="B115" s="42" t="s">
        <v>32</v>
      </c>
      <c r="C115" s="43" t="s">
        <v>9</v>
      </c>
      <c r="D115" s="43" t="s">
        <v>25</v>
      </c>
      <c r="E115" s="43" t="s">
        <v>15</v>
      </c>
      <c r="F115" s="31">
        <v>88447</v>
      </c>
      <c r="G115" s="32">
        <v>3.2150747E-2</v>
      </c>
      <c r="H115" s="33">
        <f t="shared" si="9"/>
        <v>2843.6371199089999</v>
      </c>
      <c r="I115" s="33">
        <v>1663.03</v>
      </c>
      <c r="J115" s="36">
        <f t="shared" si="10"/>
        <v>4729053.839522264</v>
      </c>
      <c r="K115" s="58" t="s">
        <v>33</v>
      </c>
    </row>
    <row r="116" spans="1:11" ht="15.6" x14ac:dyDescent="0.3">
      <c r="A116" s="44">
        <v>44466</v>
      </c>
      <c r="B116" s="42" t="s">
        <v>32</v>
      </c>
      <c r="C116" s="43" t="s">
        <v>9</v>
      </c>
      <c r="D116" s="43" t="s">
        <v>25</v>
      </c>
      <c r="E116" s="43" t="s">
        <v>15</v>
      </c>
      <c r="F116" s="31">
        <v>33635</v>
      </c>
      <c r="G116" s="32">
        <v>3.2150747E-2</v>
      </c>
      <c r="H116" s="33">
        <f t="shared" si="9"/>
        <v>1081.3903753449999</v>
      </c>
      <c r="I116" s="33">
        <v>1663.03</v>
      </c>
      <c r="J116" s="36">
        <f t="shared" si="10"/>
        <v>1798384.6359099953</v>
      </c>
      <c r="K116" s="58" t="s">
        <v>33</v>
      </c>
    </row>
    <row r="117" spans="1:11" ht="15.6" x14ac:dyDescent="0.3">
      <c r="A117" s="44">
        <v>44480</v>
      </c>
      <c r="B117" s="42" t="s">
        <v>32</v>
      </c>
      <c r="C117" s="43" t="s">
        <v>9</v>
      </c>
      <c r="D117" s="43" t="s">
        <v>25</v>
      </c>
      <c r="E117" s="43" t="s">
        <v>15</v>
      </c>
      <c r="F117" s="31">
        <v>71071</v>
      </c>
      <c r="G117" s="32">
        <v>3.2150747E-2</v>
      </c>
      <c r="H117" s="33">
        <f t="shared" si="9"/>
        <v>2284.9857400370001</v>
      </c>
      <c r="I117" s="36">
        <f>1757.65*0.94</f>
        <v>1652.191</v>
      </c>
      <c r="J117" s="33">
        <f t="shared" si="10"/>
        <v>3775232.8748174715</v>
      </c>
      <c r="K117" s="58" t="s">
        <v>33</v>
      </c>
    </row>
    <row r="118" spans="1:11" ht="15.6" x14ac:dyDescent="0.3">
      <c r="A118" s="44">
        <v>44494</v>
      </c>
      <c r="B118" s="42" t="s">
        <v>32</v>
      </c>
      <c r="C118" s="43" t="s">
        <v>9</v>
      </c>
      <c r="D118" s="43" t="s">
        <v>25</v>
      </c>
      <c r="E118" s="43" t="s">
        <v>15</v>
      </c>
      <c r="F118" s="31">
        <v>109571</v>
      </c>
      <c r="G118" s="32">
        <v>3.2150747E-2</v>
      </c>
      <c r="H118" s="33">
        <f t="shared" si="9"/>
        <v>3522.7894995370002</v>
      </c>
      <c r="I118" s="36">
        <f>1805.25*0.94</f>
        <v>1696.9349999999999</v>
      </c>
      <c r="J118" s="33">
        <f t="shared" si="10"/>
        <v>5977944.7993968194</v>
      </c>
      <c r="K118" s="58" t="s">
        <v>33</v>
      </c>
    </row>
    <row r="119" spans="1:11" ht="15.6" x14ac:dyDescent="0.3">
      <c r="A119" s="44">
        <v>44508</v>
      </c>
      <c r="B119" s="42" t="s">
        <v>32</v>
      </c>
      <c r="C119" s="43" t="s">
        <v>9</v>
      </c>
      <c r="D119" s="43" t="s">
        <v>25</v>
      </c>
      <c r="E119" s="43" t="s">
        <v>15</v>
      </c>
      <c r="F119" s="37">
        <v>138607</v>
      </c>
      <c r="G119" s="32">
        <v>3.2150747E-2</v>
      </c>
      <c r="H119" s="33">
        <f>F119*G119</f>
        <v>4456.318589429</v>
      </c>
      <c r="I119" s="33">
        <f>1816</f>
        <v>1816</v>
      </c>
      <c r="J119" s="33">
        <f t="shared" si="10"/>
        <v>8092674.5584030636</v>
      </c>
      <c r="K119" s="58" t="s">
        <v>33</v>
      </c>
    </row>
    <row r="120" spans="1:11" ht="15.6" x14ac:dyDescent="0.3">
      <c r="A120" s="44">
        <v>44522</v>
      </c>
      <c r="B120" s="42" t="s">
        <v>32</v>
      </c>
      <c r="C120" s="43" t="s">
        <v>9</v>
      </c>
      <c r="D120" s="43" t="s">
        <v>25</v>
      </c>
      <c r="E120" s="43" t="s">
        <v>15</v>
      </c>
      <c r="F120" s="31">
        <v>93084</v>
      </c>
      <c r="G120" s="32">
        <v>3.2150747E-2</v>
      </c>
      <c r="H120" s="33">
        <f t="shared" ref="H120:H138" si="11">+F120*G120</f>
        <v>2992.7201337480001</v>
      </c>
      <c r="I120" s="36">
        <v>1845</v>
      </c>
      <c r="J120" s="33">
        <f t="shared" si="10"/>
        <v>5521568.6467650598</v>
      </c>
      <c r="K120" s="58" t="s">
        <v>33</v>
      </c>
    </row>
    <row r="121" spans="1:11" ht="15.6" x14ac:dyDescent="0.3">
      <c r="A121" s="44">
        <v>44536</v>
      </c>
      <c r="B121" s="42" t="s">
        <v>32</v>
      </c>
      <c r="C121" s="43" t="s">
        <v>9</v>
      </c>
      <c r="D121" s="43" t="s">
        <v>25</v>
      </c>
      <c r="E121" s="43" t="s">
        <v>15</v>
      </c>
      <c r="F121" s="31">
        <v>99901</v>
      </c>
      <c r="G121" s="32">
        <v>3.2150747E-2</v>
      </c>
      <c r="H121" s="33">
        <f t="shared" si="11"/>
        <v>3211.8917760469999</v>
      </c>
      <c r="I121" s="33">
        <v>1784</v>
      </c>
      <c r="J121" s="33">
        <f t="shared" si="10"/>
        <v>5730014.9284678474</v>
      </c>
      <c r="K121" s="58" t="s">
        <v>33</v>
      </c>
    </row>
    <row r="122" spans="1:11" ht="15.6" x14ac:dyDescent="0.3">
      <c r="A122" s="44">
        <v>44550</v>
      </c>
      <c r="B122" s="49" t="s">
        <v>32</v>
      </c>
      <c r="C122" s="48" t="s">
        <v>9</v>
      </c>
      <c r="D122" s="48" t="s">
        <v>25</v>
      </c>
      <c r="E122" s="48" t="s">
        <v>15</v>
      </c>
      <c r="F122" s="31">
        <v>83984</v>
      </c>
      <c r="G122" s="32">
        <v>3.2150747E-2</v>
      </c>
      <c r="H122" s="33">
        <f t="shared" si="11"/>
        <v>2700.1483360480001</v>
      </c>
      <c r="I122" s="33">
        <v>1801</v>
      </c>
      <c r="J122" s="33">
        <f t="shared" si="10"/>
        <v>4862967.1532224482</v>
      </c>
      <c r="K122" s="58" t="s">
        <v>33</v>
      </c>
    </row>
    <row r="123" spans="1:11" ht="16.2" thickBot="1" x14ac:dyDescent="0.35">
      <c r="A123" s="60">
        <v>44558</v>
      </c>
      <c r="B123" s="108" t="s">
        <v>32</v>
      </c>
      <c r="C123" s="109" t="s">
        <v>9</v>
      </c>
      <c r="D123" s="109" t="s">
        <v>25</v>
      </c>
      <c r="E123" s="109" t="s">
        <v>15</v>
      </c>
      <c r="F123" s="63">
        <v>41651</v>
      </c>
      <c r="G123" s="110">
        <v>3.2150747E-2</v>
      </c>
      <c r="H123" s="111">
        <f t="shared" si="11"/>
        <v>1339.1107632969999</v>
      </c>
      <c r="I123" s="111">
        <v>1813</v>
      </c>
      <c r="J123" s="111">
        <f t="shared" si="10"/>
        <v>2427807.8138574609</v>
      </c>
      <c r="K123" s="58" t="s">
        <v>33</v>
      </c>
    </row>
    <row r="124" spans="1:11" ht="16.2" thickBot="1" x14ac:dyDescent="0.35">
      <c r="A124" s="146" t="s">
        <v>41</v>
      </c>
      <c r="B124" s="146"/>
      <c r="C124" s="146"/>
      <c r="D124" s="146"/>
      <c r="E124" s="146"/>
      <c r="F124" s="114">
        <f>SUM(F104:F123)</f>
        <v>1598208</v>
      </c>
      <c r="G124" s="115"/>
      <c r="H124" s="116">
        <f>SUM(H104:H123)</f>
        <v>51383.581061376004</v>
      </c>
      <c r="I124" s="116"/>
      <c r="J124" s="144">
        <f>SUM(J104:J123)</f>
        <v>91357155.380173594</v>
      </c>
      <c r="K124" s="58"/>
    </row>
    <row r="125" spans="1:11" ht="15.6" x14ac:dyDescent="0.3">
      <c r="A125" s="41">
        <v>44201</v>
      </c>
      <c r="B125" s="42" t="s">
        <v>35</v>
      </c>
      <c r="C125" s="43" t="s">
        <v>30</v>
      </c>
      <c r="D125" s="43" t="s">
        <v>25</v>
      </c>
      <c r="E125" s="43" t="s">
        <v>15</v>
      </c>
      <c r="F125" s="28">
        <v>22888</v>
      </c>
      <c r="G125" s="112">
        <v>3.2150747E-2</v>
      </c>
      <c r="H125" s="113">
        <f t="shared" si="11"/>
        <v>735.866297336</v>
      </c>
      <c r="I125" s="113">
        <v>1949.3</v>
      </c>
      <c r="J125" s="113">
        <f t="shared" ref="J125:J138" si="12">+H125*I125</f>
        <v>1434424.1733970647</v>
      </c>
      <c r="K125" s="59" t="s">
        <v>34</v>
      </c>
    </row>
    <row r="126" spans="1:11" ht="15.6" x14ac:dyDescent="0.3">
      <c r="A126" s="44">
        <v>44221</v>
      </c>
      <c r="B126" s="49" t="s">
        <v>35</v>
      </c>
      <c r="C126" s="48" t="s">
        <v>30</v>
      </c>
      <c r="D126" s="48" t="s">
        <v>25</v>
      </c>
      <c r="E126" s="48" t="s">
        <v>15</v>
      </c>
      <c r="F126" s="31">
        <v>42758</v>
      </c>
      <c r="G126" s="46">
        <v>3.2150747E-2</v>
      </c>
      <c r="H126" s="47">
        <f t="shared" si="11"/>
        <v>1374.7016402260001</v>
      </c>
      <c r="I126" s="47">
        <v>1863.5</v>
      </c>
      <c r="J126" s="47">
        <f t="shared" si="12"/>
        <v>2561756.5065611512</v>
      </c>
      <c r="K126" s="59" t="s">
        <v>34</v>
      </c>
    </row>
    <row r="127" spans="1:11" ht="15.6" x14ac:dyDescent="0.3">
      <c r="A127" s="44">
        <v>44235</v>
      </c>
      <c r="B127" s="49" t="s">
        <v>35</v>
      </c>
      <c r="C127" s="48" t="s">
        <v>30</v>
      </c>
      <c r="D127" s="48" t="s">
        <v>25</v>
      </c>
      <c r="E127" s="48" t="s">
        <v>15</v>
      </c>
      <c r="F127" s="31">
        <v>45654</v>
      </c>
      <c r="G127" s="46">
        <v>3.2150747E-2</v>
      </c>
      <c r="H127" s="47">
        <f t="shared" si="11"/>
        <v>1467.810203538</v>
      </c>
      <c r="I127" s="47">
        <v>1816.2</v>
      </c>
      <c r="J127" s="47">
        <f t="shared" si="12"/>
        <v>2665836.8916657157</v>
      </c>
      <c r="K127" s="59" t="s">
        <v>34</v>
      </c>
    </row>
    <row r="128" spans="1:11" ht="15.6" x14ac:dyDescent="0.3">
      <c r="A128" s="44">
        <v>44249</v>
      </c>
      <c r="B128" s="49" t="s">
        <v>35</v>
      </c>
      <c r="C128" s="48" t="s">
        <v>30</v>
      </c>
      <c r="D128" s="48" t="s">
        <v>25</v>
      </c>
      <c r="E128" s="48" t="s">
        <v>15</v>
      </c>
      <c r="F128" s="31">
        <v>47370</v>
      </c>
      <c r="G128" s="46">
        <v>3.2150747E-2</v>
      </c>
      <c r="H128" s="47">
        <f t="shared" si="11"/>
        <v>1522.9808853899999</v>
      </c>
      <c r="I128" s="47">
        <v>1796.6</v>
      </c>
      <c r="J128" s="47">
        <f t="shared" si="12"/>
        <v>2736187.4586916738</v>
      </c>
      <c r="K128" s="59" t="s">
        <v>34</v>
      </c>
    </row>
    <row r="129" spans="1:11" ht="15.6" x14ac:dyDescent="0.3">
      <c r="A129" s="44">
        <v>44263</v>
      </c>
      <c r="B129" s="49" t="s">
        <v>35</v>
      </c>
      <c r="C129" s="48" t="s">
        <v>30</v>
      </c>
      <c r="D129" s="48" t="s">
        <v>25</v>
      </c>
      <c r="E129" s="48" t="s">
        <v>15</v>
      </c>
      <c r="F129" s="31">
        <v>52280</v>
      </c>
      <c r="G129" s="46">
        <v>3.2150747E-2</v>
      </c>
      <c r="H129" s="47">
        <f t="shared" si="11"/>
        <v>1680.84105316</v>
      </c>
      <c r="I129" s="47">
        <v>1690.8</v>
      </c>
      <c r="J129" s="47">
        <f t="shared" si="12"/>
        <v>2841966.0526829278</v>
      </c>
      <c r="K129" s="59" t="s">
        <v>34</v>
      </c>
    </row>
    <row r="130" spans="1:11" ht="15.6" x14ac:dyDescent="0.3">
      <c r="A130" s="44">
        <v>44278</v>
      </c>
      <c r="B130" s="49" t="s">
        <v>35</v>
      </c>
      <c r="C130" s="48" t="s">
        <v>30</v>
      </c>
      <c r="D130" s="48" t="s">
        <v>25</v>
      </c>
      <c r="E130" s="48" t="s">
        <v>15</v>
      </c>
      <c r="F130" s="31">
        <v>49140</v>
      </c>
      <c r="G130" s="46">
        <v>3.2150747E-2</v>
      </c>
      <c r="H130" s="47">
        <f t="shared" si="11"/>
        <v>1579.8877075800001</v>
      </c>
      <c r="I130" s="47">
        <v>1740</v>
      </c>
      <c r="J130" s="47">
        <f t="shared" si="12"/>
        <v>2749004.6111892001</v>
      </c>
      <c r="K130" s="59" t="s">
        <v>34</v>
      </c>
    </row>
    <row r="131" spans="1:11" ht="15.6" x14ac:dyDescent="0.3">
      <c r="A131" s="44">
        <v>44293</v>
      </c>
      <c r="B131" s="49" t="s">
        <v>35</v>
      </c>
      <c r="C131" s="48" t="s">
        <v>30</v>
      </c>
      <c r="D131" s="48" t="s">
        <v>25</v>
      </c>
      <c r="E131" s="48" t="s">
        <v>15</v>
      </c>
      <c r="F131" s="31">
        <v>39008</v>
      </c>
      <c r="G131" s="46">
        <v>3.2150747E-2</v>
      </c>
      <c r="H131" s="47">
        <f t="shared" si="11"/>
        <v>1254.1363389759999</v>
      </c>
      <c r="I131" s="47">
        <v>1731.2</v>
      </c>
      <c r="J131" s="47">
        <f t="shared" si="12"/>
        <v>2171160.8300352511</v>
      </c>
      <c r="K131" s="59" t="s">
        <v>34</v>
      </c>
    </row>
    <row r="132" spans="1:11" ht="15.6" x14ac:dyDescent="0.3">
      <c r="A132" s="44">
        <v>44305</v>
      </c>
      <c r="B132" s="49" t="s">
        <v>35</v>
      </c>
      <c r="C132" s="48" t="s">
        <v>30</v>
      </c>
      <c r="D132" s="48" t="s">
        <v>25</v>
      </c>
      <c r="E132" s="48" t="s">
        <v>15</v>
      </c>
      <c r="F132" s="31">
        <v>44466</v>
      </c>
      <c r="G132" s="46">
        <v>3.2150747E-2</v>
      </c>
      <c r="H132" s="47">
        <f t="shared" si="11"/>
        <v>1429.615116102</v>
      </c>
      <c r="I132" s="47">
        <v>1775.7</v>
      </c>
      <c r="J132" s="47">
        <f t="shared" si="12"/>
        <v>2538567.5616623214</v>
      </c>
      <c r="K132" s="59" t="s">
        <v>34</v>
      </c>
    </row>
    <row r="133" spans="1:11" ht="15.6" x14ac:dyDescent="0.3">
      <c r="A133" s="44">
        <v>44319</v>
      </c>
      <c r="B133" s="49" t="s">
        <v>35</v>
      </c>
      <c r="C133" s="48" t="s">
        <v>30</v>
      </c>
      <c r="D133" s="48" t="s">
        <v>25</v>
      </c>
      <c r="E133" s="48" t="s">
        <v>15</v>
      </c>
      <c r="F133" s="31">
        <v>29065</v>
      </c>
      <c r="G133" s="46">
        <v>3.2150747E-2</v>
      </c>
      <c r="H133" s="47">
        <f t="shared" si="11"/>
        <v>934.46146155500003</v>
      </c>
      <c r="I133" s="47">
        <v>1769.1</v>
      </c>
      <c r="J133" s="47">
        <f t="shared" si="12"/>
        <v>1653155.7716369506</v>
      </c>
      <c r="K133" s="59" t="s">
        <v>34</v>
      </c>
    </row>
    <row r="134" spans="1:11" ht="15.6" x14ac:dyDescent="0.3">
      <c r="A134" s="44">
        <v>44334</v>
      </c>
      <c r="B134" s="49" t="s">
        <v>35</v>
      </c>
      <c r="C134" s="48" t="s">
        <v>30</v>
      </c>
      <c r="D134" s="48" t="s">
        <v>25</v>
      </c>
      <c r="E134" s="48" t="s">
        <v>15</v>
      </c>
      <c r="F134" s="31">
        <v>42191</v>
      </c>
      <c r="G134" s="46">
        <v>3.2150747E-2</v>
      </c>
      <c r="H134" s="47">
        <f t="shared" si="11"/>
        <v>1356.4721666769999</v>
      </c>
      <c r="I134" s="47">
        <v>1867.2</v>
      </c>
      <c r="J134" s="47">
        <f t="shared" si="12"/>
        <v>2532804.8296192945</v>
      </c>
      <c r="K134" s="59" t="s">
        <v>34</v>
      </c>
    </row>
    <row r="135" spans="1:11" ht="15.6" x14ac:dyDescent="0.3">
      <c r="A135" s="44">
        <v>44347</v>
      </c>
      <c r="B135" s="49" t="s">
        <v>35</v>
      </c>
      <c r="C135" s="48" t="s">
        <v>30</v>
      </c>
      <c r="D135" s="48" t="s">
        <v>25</v>
      </c>
      <c r="E135" s="48" t="s">
        <v>15</v>
      </c>
      <c r="F135" s="31">
        <v>30202</v>
      </c>
      <c r="G135" s="46">
        <v>3.2150747E-2</v>
      </c>
      <c r="H135" s="47">
        <f t="shared" si="11"/>
        <v>971.01686089400005</v>
      </c>
      <c r="I135" s="47">
        <v>1906</v>
      </c>
      <c r="J135" s="47">
        <f t="shared" si="12"/>
        <v>1850758.1368639641</v>
      </c>
      <c r="K135" s="59" t="s">
        <v>34</v>
      </c>
    </row>
    <row r="136" spans="1:11" ht="15.6" x14ac:dyDescent="0.3">
      <c r="A136" s="44">
        <v>44362</v>
      </c>
      <c r="B136" s="49" t="s">
        <v>35</v>
      </c>
      <c r="C136" s="48" t="s">
        <v>30</v>
      </c>
      <c r="D136" s="48" t="s">
        <v>25</v>
      </c>
      <c r="E136" s="48" t="s">
        <v>15</v>
      </c>
      <c r="F136" s="31">
        <v>28627</v>
      </c>
      <c r="G136" s="46">
        <v>3.2150747E-2</v>
      </c>
      <c r="H136" s="47">
        <f t="shared" si="11"/>
        <v>920.37943436900002</v>
      </c>
      <c r="I136" s="47">
        <v>1865.7</v>
      </c>
      <c r="J136" s="47">
        <f t="shared" si="12"/>
        <v>1717151.9107022434</v>
      </c>
      <c r="K136" s="59" t="s">
        <v>34</v>
      </c>
    </row>
    <row r="137" spans="1:11" ht="15.6" x14ac:dyDescent="0.3">
      <c r="A137" s="44">
        <v>44375</v>
      </c>
      <c r="B137" s="49" t="s">
        <v>35</v>
      </c>
      <c r="C137" s="48" t="s">
        <v>30</v>
      </c>
      <c r="D137" s="48" t="s">
        <v>25</v>
      </c>
      <c r="E137" s="48" t="s">
        <v>15</v>
      </c>
      <c r="F137" s="31">
        <v>14151</v>
      </c>
      <c r="G137" s="46">
        <v>3.2150747E-2</v>
      </c>
      <c r="H137" s="47">
        <f t="shared" si="11"/>
        <v>454.96522079700003</v>
      </c>
      <c r="I137" s="47">
        <v>1776.5</v>
      </c>
      <c r="J137" s="47">
        <f t="shared" si="12"/>
        <v>808245.71474587056</v>
      </c>
      <c r="K137" s="59" t="s">
        <v>34</v>
      </c>
    </row>
    <row r="138" spans="1:11" ht="16.2" thickBot="1" x14ac:dyDescent="0.35">
      <c r="A138" s="60">
        <v>44397</v>
      </c>
      <c r="B138" s="61" t="s">
        <v>35</v>
      </c>
      <c r="C138" s="62" t="s">
        <v>30</v>
      </c>
      <c r="D138" s="62" t="s">
        <v>25</v>
      </c>
      <c r="E138" s="62" t="s">
        <v>15</v>
      </c>
      <c r="F138" s="63">
        <v>37374</v>
      </c>
      <c r="G138" s="64">
        <v>3.2150747E-2</v>
      </c>
      <c r="H138" s="65">
        <f t="shared" si="11"/>
        <v>1201.6020183779999</v>
      </c>
      <c r="I138" s="66">
        <v>1816.8</v>
      </c>
      <c r="J138" s="65">
        <f t="shared" si="12"/>
        <v>2183070.5469891503</v>
      </c>
      <c r="K138" s="67" t="s">
        <v>34</v>
      </c>
    </row>
    <row r="139" spans="1:11" ht="15" thickBot="1" x14ac:dyDescent="0.35">
      <c r="A139" s="146" t="s">
        <v>41</v>
      </c>
      <c r="B139" s="146"/>
      <c r="C139" s="146"/>
      <c r="D139" s="146"/>
      <c r="E139" s="146"/>
      <c r="F139" s="120">
        <f>SUM(F125:F138)</f>
        <v>525174</v>
      </c>
      <c r="G139" s="121"/>
      <c r="H139" s="122">
        <f>SUM(H125:H138)</f>
        <v>16884.736404978001</v>
      </c>
      <c r="I139" s="121"/>
      <c r="J139" s="122">
        <f>SUM(J125:J138)</f>
        <v>30444090.996442784</v>
      </c>
    </row>
    <row r="140" spans="1:11" s="73" customFormat="1" ht="15.6" x14ac:dyDescent="0.3">
      <c r="A140" s="117">
        <v>44202</v>
      </c>
      <c r="B140" s="97" t="s">
        <v>36</v>
      </c>
      <c r="C140" s="85" t="s">
        <v>9</v>
      </c>
      <c r="D140" s="85" t="s">
        <v>25</v>
      </c>
      <c r="E140" s="85" t="s">
        <v>10</v>
      </c>
      <c r="F140" s="118">
        <v>44126</v>
      </c>
      <c r="G140" s="69">
        <v>3.2150747E-2</v>
      </c>
      <c r="H140" s="119">
        <f t="shared" ref="H140:H152" si="13">F140*G140</f>
        <v>1418.6838621219999</v>
      </c>
      <c r="I140" s="30">
        <v>1839.768</v>
      </c>
      <c r="J140" s="71">
        <f t="shared" ref="J140:J152" si="14">+H140*I140</f>
        <v>2610049.1716484674</v>
      </c>
      <c r="K140" s="75" t="s">
        <v>16</v>
      </c>
    </row>
    <row r="141" spans="1:11" s="73" customFormat="1" ht="15.6" x14ac:dyDescent="0.3">
      <c r="A141" s="74">
        <v>44223</v>
      </c>
      <c r="B141" s="12" t="s">
        <v>36</v>
      </c>
      <c r="C141" s="23" t="s">
        <v>9</v>
      </c>
      <c r="D141" s="23" t="s">
        <v>25</v>
      </c>
      <c r="E141" s="23" t="s">
        <v>10</v>
      </c>
      <c r="F141" s="37">
        <v>34962</v>
      </c>
      <c r="G141" s="5">
        <v>3.2150747E-2</v>
      </c>
      <c r="H141" s="11">
        <f t="shared" si="13"/>
        <v>1124.054416614</v>
      </c>
      <c r="I141" s="33">
        <v>1735.616</v>
      </c>
      <c r="J141" s="13">
        <f t="shared" si="14"/>
        <v>1950926.8303459242</v>
      </c>
      <c r="K141" s="75" t="s">
        <v>16</v>
      </c>
    </row>
    <row r="142" spans="1:11" s="73" customFormat="1" ht="15.6" x14ac:dyDescent="0.3">
      <c r="A142" s="74">
        <v>44237</v>
      </c>
      <c r="B142" s="12" t="s">
        <v>36</v>
      </c>
      <c r="C142" s="23" t="s">
        <v>9</v>
      </c>
      <c r="D142" s="23" t="s">
        <v>25</v>
      </c>
      <c r="E142" s="23" t="s">
        <v>10</v>
      </c>
      <c r="F142" s="37">
        <v>45544</v>
      </c>
      <c r="G142" s="5">
        <v>3.2150747E-2</v>
      </c>
      <c r="H142" s="11">
        <f t="shared" si="13"/>
        <v>1464.273621368</v>
      </c>
      <c r="I142" s="33">
        <v>1732.8430000000001</v>
      </c>
      <c r="J142" s="13">
        <f t="shared" si="14"/>
        <v>2537356.2948721894</v>
      </c>
      <c r="K142" s="75" t="s">
        <v>16</v>
      </c>
    </row>
    <row r="143" spans="1:11" s="73" customFormat="1" ht="15.6" x14ac:dyDescent="0.3">
      <c r="A143" s="74">
        <v>44258</v>
      </c>
      <c r="B143" s="12" t="s">
        <v>36</v>
      </c>
      <c r="C143" s="23" t="s">
        <v>9</v>
      </c>
      <c r="D143" s="23" t="s">
        <v>25</v>
      </c>
      <c r="E143" s="23" t="s">
        <v>10</v>
      </c>
      <c r="F143" s="37">
        <v>45959</v>
      </c>
      <c r="G143" s="5">
        <v>3.2150747E-2</v>
      </c>
      <c r="H143" s="11">
        <f t="shared" si="13"/>
        <v>1477.616181373</v>
      </c>
      <c r="I143" s="33">
        <v>1642.133</v>
      </c>
      <c r="J143" s="13">
        <f t="shared" si="14"/>
        <v>2426442.2927665887</v>
      </c>
      <c r="K143" s="75" t="s">
        <v>16</v>
      </c>
    </row>
    <row r="144" spans="1:11" s="73" customFormat="1" ht="15.6" x14ac:dyDescent="0.3">
      <c r="A144" s="74">
        <v>44279</v>
      </c>
      <c r="B144" s="12" t="s">
        <v>36</v>
      </c>
      <c r="C144" s="23" t="s">
        <v>9</v>
      </c>
      <c r="D144" s="23" t="s">
        <v>25</v>
      </c>
      <c r="E144" s="23" t="s">
        <v>10</v>
      </c>
      <c r="F144" s="37">
        <v>34750</v>
      </c>
      <c r="G144" s="5">
        <v>3.2150747E-2</v>
      </c>
      <c r="H144" s="11">
        <f t="shared" si="13"/>
        <v>1117.2384582500001</v>
      </c>
      <c r="I144" s="33">
        <v>1630</v>
      </c>
      <c r="J144" s="13">
        <f t="shared" si="14"/>
        <v>1821098.6869475001</v>
      </c>
      <c r="K144" s="75" t="s">
        <v>16</v>
      </c>
    </row>
    <row r="145" spans="1:11" s="73" customFormat="1" ht="15.6" x14ac:dyDescent="0.3">
      <c r="A145" s="74">
        <v>44307</v>
      </c>
      <c r="B145" s="12" t="s">
        <v>36</v>
      </c>
      <c r="C145" s="23" t="s">
        <v>9</v>
      </c>
      <c r="D145" s="23" t="s">
        <v>25</v>
      </c>
      <c r="E145" s="23" t="s">
        <v>10</v>
      </c>
      <c r="F145" s="37">
        <v>38064</v>
      </c>
      <c r="G145" s="5">
        <v>3.2150747E-2</v>
      </c>
      <c r="H145" s="11">
        <f t="shared" si="13"/>
        <v>1223.786033808</v>
      </c>
      <c r="I145" s="33">
        <v>1690.308</v>
      </c>
      <c r="J145" s="13">
        <f t="shared" si="14"/>
        <v>2068575.3232339327</v>
      </c>
      <c r="K145" s="75" t="s">
        <v>16</v>
      </c>
    </row>
    <row r="146" spans="1:11" s="73" customFormat="1" ht="15.6" x14ac:dyDescent="0.3">
      <c r="A146" s="74">
        <v>44335</v>
      </c>
      <c r="B146" s="12" t="s">
        <v>36</v>
      </c>
      <c r="C146" s="23" t="s">
        <v>9</v>
      </c>
      <c r="D146" s="23" t="s">
        <v>25</v>
      </c>
      <c r="E146" s="23" t="s">
        <v>10</v>
      </c>
      <c r="F146" s="37">
        <v>51389</v>
      </c>
      <c r="G146" s="5">
        <v>3.2150747E-2</v>
      </c>
      <c r="H146" s="11">
        <f t="shared" si="13"/>
        <v>1652.194737583</v>
      </c>
      <c r="I146" s="33">
        <v>1775.143</v>
      </c>
      <c r="J146" s="13">
        <f t="shared" si="14"/>
        <v>2932881.9230572996</v>
      </c>
      <c r="K146" s="75" t="s">
        <v>16</v>
      </c>
    </row>
    <row r="147" spans="1:11" s="73" customFormat="1" ht="15.6" x14ac:dyDescent="0.3">
      <c r="A147" s="74">
        <v>44356</v>
      </c>
      <c r="B147" s="12" t="s">
        <v>36</v>
      </c>
      <c r="C147" s="23" t="s">
        <v>9</v>
      </c>
      <c r="D147" s="23" t="s">
        <v>25</v>
      </c>
      <c r="E147" s="23" t="s">
        <v>10</v>
      </c>
      <c r="F147" s="37">
        <v>32446</v>
      </c>
      <c r="G147" s="5">
        <v>3.2150747E-2</v>
      </c>
      <c r="H147" s="11">
        <f t="shared" si="13"/>
        <v>1043.1631371620001</v>
      </c>
      <c r="I147" s="33">
        <v>1780.924</v>
      </c>
      <c r="J147" s="13">
        <f t="shared" si="14"/>
        <v>1857794.2668870979</v>
      </c>
      <c r="K147" s="75" t="s">
        <v>16</v>
      </c>
    </row>
    <row r="148" spans="1:11" s="73" customFormat="1" ht="15.6" x14ac:dyDescent="0.3">
      <c r="A148" s="74">
        <v>44397</v>
      </c>
      <c r="B148" s="12" t="s">
        <v>36</v>
      </c>
      <c r="C148" s="23" t="s">
        <v>9</v>
      </c>
      <c r="D148" s="23" t="s">
        <v>25</v>
      </c>
      <c r="E148" s="23" t="s">
        <v>10</v>
      </c>
      <c r="F148" s="37">
        <v>64714</v>
      </c>
      <c r="G148" s="5">
        <v>3.2150747E-2</v>
      </c>
      <c r="H148" s="11">
        <f t="shared" si="13"/>
        <v>2080.6034413580001</v>
      </c>
      <c r="I148" s="40">
        <v>1713.6669999999999</v>
      </c>
      <c r="J148" s="13">
        <f t="shared" si="14"/>
        <v>3565461.4575416399</v>
      </c>
      <c r="K148" s="75" t="s">
        <v>16</v>
      </c>
    </row>
    <row r="149" spans="1:11" s="73" customFormat="1" ht="15.6" x14ac:dyDescent="0.3">
      <c r="A149" s="74">
        <v>44426</v>
      </c>
      <c r="B149" s="12" t="s">
        <v>36</v>
      </c>
      <c r="C149" s="23" t="s">
        <v>9</v>
      </c>
      <c r="D149" s="23" t="s">
        <v>25</v>
      </c>
      <c r="E149" s="23" t="s">
        <v>10</v>
      </c>
      <c r="F149" s="37">
        <v>42455</v>
      </c>
      <c r="G149" s="5">
        <v>3.2150747E-2</v>
      </c>
      <c r="H149" s="11">
        <f t="shared" si="13"/>
        <v>1364.959963885</v>
      </c>
      <c r="I149" s="33">
        <v>1660.1339999999998</v>
      </c>
      <c r="J149" s="13">
        <f t="shared" si="14"/>
        <v>2266016.4446842601</v>
      </c>
      <c r="K149" s="75" t="s">
        <v>16</v>
      </c>
    </row>
    <row r="150" spans="1:11" s="73" customFormat="1" ht="15.6" x14ac:dyDescent="0.3">
      <c r="A150" s="74">
        <v>44454</v>
      </c>
      <c r="B150" s="12" t="s">
        <v>36</v>
      </c>
      <c r="C150" s="23" t="s">
        <v>9</v>
      </c>
      <c r="D150" s="23" t="s">
        <v>25</v>
      </c>
      <c r="E150" s="23" t="s">
        <v>10</v>
      </c>
      <c r="F150" s="37">
        <v>46606</v>
      </c>
      <c r="G150" s="5">
        <v>3.2150747E-2</v>
      </c>
      <c r="H150" s="11">
        <f t="shared" si="13"/>
        <v>1498.417714682</v>
      </c>
      <c r="I150" s="33">
        <v>1693.316</v>
      </c>
      <c r="J150" s="13">
        <f t="shared" si="14"/>
        <v>2537294.6909544654</v>
      </c>
      <c r="K150" s="75" t="s">
        <v>16</v>
      </c>
    </row>
    <row r="151" spans="1:11" s="73" customFormat="1" ht="15.6" x14ac:dyDescent="0.3">
      <c r="A151" s="74">
        <v>44489</v>
      </c>
      <c r="B151" s="12" t="s">
        <v>36</v>
      </c>
      <c r="C151" s="23" t="s">
        <v>9</v>
      </c>
      <c r="D151" s="23" t="s">
        <v>25</v>
      </c>
      <c r="E151" s="23" t="s">
        <v>10</v>
      </c>
      <c r="F151" s="37">
        <v>44455</v>
      </c>
      <c r="G151" s="5">
        <v>3.2150747E-2</v>
      </c>
      <c r="H151" s="11">
        <f t="shared" si="13"/>
        <v>1429.261457885</v>
      </c>
      <c r="I151" s="36">
        <v>1671.461</v>
      </c>
      <c r="J151" s="13">
        <f t="shared" si="14"/>
        <v>2388954.7856579199</v>
      </c>
      <c r="K151" s="75" t="s">
        <v>16</v>
      </c>
    </row>
    <row r="152" spans="1:11" s="73" customFormat="1" ht="16.2" thickBot="1" x14ac:dyDescent="0.35">
      <c r="A152" s="123">
        <v>44531</v>
      </c>
      <c r="B152" s="103" t="s">
        <v>36</v>
      </c>
      <c r="C152" s="78" t="s">
        <v>9</v>
      </c>
      <c r="D152" s="78" t="s">
        <v>25</v>
      </c>
      <c r="E152" s="78" t="s">
        <v>10</v>
      </c>
      <c r="F152" s="124">
        <v>68245</v>
      </c>
      <c r="G152" s="80">
        <v>3.2150747E-2</v>
      </c>
      <c r="H152" s="95">
        <f t="shared" si="13"/>
        <v>2194.1277290150001</v>
      </c>
      <c r="I152" s="125">
        <v>1681.895</v>
      </c>
      <c r="J152" s="96">
        <f t="shared" si="14"/>
        <v>3690292.4567916836</v>
      </c>
      <c r="K152" s="75" t="s">
        <v>16</v>
      </c>
    </row>
    <row r="153" spans="1:11" s="73" customFormat="1" ht="16.2" thickBot="1" x14ac:dyDescent="0.35">
      <c r="A153" s="146" t="s">
        <v>41</v>
      </c>
      <c r="B153" s="146"/>
      <c r="C153" s="146"/>
      <c r="D153" s="146"/>
      <c r="E153" s="146"/>
      <c r="F153" s="126">
        <f>SUM(F140:F152)</f>
        <v>593715</v>
      </c>
      <c r="G153" s="127"/>
      <c r="H153" s="128">
        <f>SUM(H140:H152)</f>
        <v>19088.380755104998</v>
      </c>
      <c r="I153" s="127"/>
      <c r="J153" s="128">
        <f>SUM(J140:J152)</f>
        <v>32653144.625388969</v>
      </c>
    </row>
    <row r="154" spans="1:11" s="73" customFormat="1" ht="16.2" thickBot="1" x14ac:dyDescent="0.35">
      <c r="A154" s="134">
        <v>44243</v>
      </c>
      <c r="B154" s="135" t="s">
        <v>39</v>
      </c>
      <c r="C154" s="136" t="s">
        <v>9</v>
      </c>
      <c r="D154" s="136" t="s">
        <v>25</v>
      </c>
      <c r="E154" s="136" t="s">
        <v>10</v>
      </c>
      <c r="F154" s="137">
        <v>9593</v>
      </c>
      <c r="G154" s="138">
        <v>3.2150747E-2</v>
      </c>
      <c r="H154" s="139">
        <f t="shared" ref="H154" si="15">F154*G154</f>
        <v>308.42211597099998</v>
      </c>
      <c r="I154" s="140">
        <v>1714.03</v>
      </c>
      <c r="J154" s="141">
        <f t="shared" ref="J154" si="16">+H154*I154</f>
        <v>528644.75943777314</v>
      </c>
      <c r="K154" s="75" t="s">
        <v>40</v>
      </c>
    </row>
    <row r="155" spans="1:11" ht="15" thickBot="1" x14ac:dyDescent="0.35">
      <c r="A155" s="148" t="s">
        <v>41</v>
      </c>
      <c r="B155" s="148"/>
      <c r="C155" s="148"/>
      <c r="D155" s="148"/>
      <c r="E155" s="148"/>
      <c r="F155" s="131">
        <f>F154</f>
        <v>9593</v>
      </c>
      <c r="G155" s="132"/>
      <c r="H155" s="133">
        <f>H154</f>
        <v>308.42211597099998</v>
      </c>
      <c r="I155" s="133"/>
      <c r="J155" s="133">
        <f>J154</f>
        <v>528644.75943777314</v>
      </c>
    </row>
    <row r="156" spans="1:11" s="73" customFormat="1" ht="15.6" x14ac:dyDescent="0.3">
      <c r="A156" s="12">
        <v>44201</v>
      </c>
      <c r="B156" s="75" t="s">
        <v>37</v>
      </c>
      <c r="C156" s="23" t="s">
        <v>9</v>
      </c>
      <c r="D156" s="23" t="s">
        <v>25</v>
      </c>
      <c r="E156" s="23" t="s">
        <v>10</v>
      </c>
      <c r="F156" s="37">
        <v>149161</v>
      </c>
      <c r="G156" s="5">
        <v>3.2150747E-2</v>
      </c>
      <c r="H156" s="11">
        <f t="shared" ref="H156:H173" si="17">F156*G156</f>
        <v>4795.6375732670003</v>
      </c>
      <c r="I156" s="47">
        <v>1829.7570000000001</v>
      </c>
      <c r="J156" s="13">
        <f>+H156*I156</f>
        <v>8774851.4191483073</v>
      </c>
      <c r="K156" s="76" t="s">
        <v>38</v>
      </c>
    </row>
    <row r="157" spans="1:11" s="73" customFormat="1" ht="15.6" x14ac:dyDescent="0.3">
      <c r="A157" s="12">
        <v>44208</v>
      </c>
      <c r="B157" s="75" t="s">
        <v>37</v>
      </c>
      <c r="C157" s="23" t="s">
        <v>9</v>
      </c>
      <c r="D157" s="23" t="s">
        <v>25</v>
      </c>
      <c r="E157" s="23" t="s">
        <v>10</v>
      </c>
      <c r="F157" s="37">
        <v>149130</v>
      </c>
      <c r="G157" s="5">
        <v>3.2150747E-2</v>
      </c>
      <c r="H157" s="11">
        <f t="shared" si="17"/>
        <v>4794.6409001100001</v>
      </c>
      <c r="I157" s="33">
        <v>1750.1389999999999</v>
      </c>
      <c r="J157" s="13">
        <f t="shared" ref="J157:J173" si="18">+H157*I157</f>
        <v>8391288.0302776154</v>
      </c>
      <c r="K157" s="76" t="s">
        <v>38</v>
      </c>
    </row>
    <row r="158" spans="1:11" s="73" customFormat="1" ht="15.6" x14ac:dyDescent="0.3">
      <c r="A158" s="12">
        <v>44242</v>
      </c>
      <c r="B158" s="75" t="s">
        <v>37</v>
      </c>
      <c r="C158" s="23" t="s">
        <v>9</v>
      </c>
      <c r="D158" s="23" t="s">
        <v>25</v>
      </c>
      <c r="E158" s="23" t="s">
        <v>10</v>
      </c>
      <c r="F158" s="37">
        <v>149155</v>
      </c>
      <c r="G158" s="5">
        <v>3.2150747E-2</v>
      </c>
      <c r="H158" s="11">
        <f t="shared" si="17"/>
        <v>4795.4446687850004</v>
      </c>
      <c r="I158" s="33">
        <v>1708.403</v>
      </c>
      <c r="J158" s="13">
        <f t="shared" si="18"/>
        <v>8192552.0584863015</v>
      </c>
      <c r="K158" s="76" t="s">
        <v>38</v>
      </c>
    </row>
    <row r="159" spans="1:11" s="73" customFormat="1" ht="15.6" x14ac:dyDescent="0.3">
      <c r="A159" s="12">
        <v>44271</v>
      </c>
      <c r="B159" s="75" t="s">
        <v>37</v>
      </c>
      <c r="C159" s="23" t="s">
        <v>9</v>
      </c>
      <c r="D159" s="23" t="s">
        <v>25</v>
      </c>
      <c r="E159" s="23" t="s">
        <v>10</v>
      </c>
      <c r="F159" s="37">
        <v>149139</v>
      </c>
      <c r="G159" s="5">
        <v>3.2150747E-2</v>
      </c>
      <c r="H159" s="11">
        <f t="shared" si="17"/>
        <v>4794.9302568330004</v>
      </c>
      <c r="I159" s="33">
        <v>1630.8999999999999</v>
      </c>
      <c r="J159" s="13">
        <f t="shared" si="18"/>
        <v>7820051.7558689397</v>
      </c>
      <c r="K159" s="76" t="s">
        <v>38</v>
      </c>
    </row>
    <row r="160" spans="1:11" s="73" customFormat="1" ht="15.6" x14ac:dyDescent="0.3">
      <c r="A160" s="12">
        <v>44292</v>
      </c>
      <c r="B160" s="75" t="s">
        <v>37</v>
      </c>
      <c r="C160" s="23" t="s">
        <v>9</v>
      </c>
      <c r="D160" s="23" t="s">
        <v>25</v>
      </c>
      <c r="E160" s="23" t="s">
        <v>10</v>
      </c>
      <c r="F160" s="37">
        <v>149130</v>
      </c>
      <c r="G160" s="5">
        <v>3.2150747E-2</v>
      </c>
      <c r="H160" s="11">
        <f t="shared" si="17"/>
        <v>4794.6409001100001</v>
      </c>
      <c r="I160" s="33">
        <v>1639.971</v>
      </c>
      <c r="J160" s="13">
        <f t="shared" si="18"/>
        <v>7863072.0315942969</v>
      </c>
      <c r="K160" s="76" t="s">
        <v>38</v>
      </c>
    </row>
    <row r="161" spans="1:11" s="73" customFormat="1" ht="15.6" x14ac:dyDescent="0.3">
      <c r="A161" s="12">
        <v>44299</v>
      </c>
      <c r="B161" s="75" t="s">
        <v>37</v>
      </c>
      <c r="C161" s="23" t="s">
        <v>9</v>
      </c>
      <c r="D161" s="23" t="s">
        <v>25</v>
      </c>
      <c r="E161" s="23" t="s">
        <v>10</v>
      </c>
      <c r="F161" s="37">
        <v>149104</v>
      </c>
      <c r="G161" s="5">
        <v>3.2150747E-2</v>
      </c>
      <c r="H161" s="11">
        <f t="shared" si="17"/>
        <v>4793.8049806879999</v>
      </c>
      <c r="I161" s="33">
        <v>1643.0729999999999</v>
      </c>
      <c r="J161" s="13">
        <f t="shared" si="18"/>
        <v>7876571.5310339732</v>
      </c>
      <c r="K161" s="76" t="s">
        <v>38</v>
      </c>
    </row>
    <row r="162" spans="1:11" s="73" customFormat="1" ht="15.6" x14ac:dyDescent="0.3">
      <c r="A162" s="12">
        <v>44313</v>
      </c>
      <c r="B162" s="75" t="s">
        <v>37</v>
      </c>
      <c r="C162" s="23" t="s">
        <v>9</v>
      </c>
      <c r="D162" s="23" t="s">
        <v>25</v>
      </c>
      <c r="E162" s="23" t="s">
        <v>10</v>
      </c>
      <c r="F162" s="37">
        <v>149114</v>
      </c>
      <c r="G162" s="5">
        <v>3.2150747E-2</v>
      </c>
      <c r="H162" s="11">
        <f t="shared" si="17"/>
        <v>4794.126488158</v>
      </c>
      <c r="I162" s="33">
        <v>1677.1009999999999</v>
      </c>
      <c r="J162" s="13">
        <f t="shared" si="18"/>
        <v>8040234.3274162691</v>
      </c>
      <c r="K162" s="76" t="s">
        <v>38</v>
      </c>
    </row>
    <row r="163" spans="1:11" s="73" customFormat="1" ht="15.6" x14ac:dyDescent="0.3">
      <c r="A163" s="12">
        <v>44340</v>
      </c>
      <c r="B163" s="75" t="s">
        <v>37</v>
      </c>
      <c r="C163" s="23" t="s">
        <v>9</v>
      </c>
      <c r="D163" s="23" t="s">
        <v>25</v>
      </c>
      <c r="E163" s="23" t="s">
        <v>10</v>
      </c>
      <c r="F163" s="37">
        <v>149076</v>
      </c>
      <c r="G163" s="5">
        <v>3.2150747E-2</v>
      </c>
      <c r="H163" s="11">
        <f t="shared" si="17"/>
        <v>4792.904759772</v>
      </c>
      <c r="I163" s="33">
        <v>1767.34</v>
      </c>
      <c r="J163" s="13">
        <f t="shared" si="18"/>
        <v>8470692.2981354464</v>
      </c>
      <c r="K163" s="76" t="s">
        <v>38</v>
      </c>
    </row>
    <row r="164" spans="1:11" s="73" customFormat="1" ht="15.6" x14ac:dyDescent="0.3">
      <c r="A164" s="12">
        <v>44348</v>
      </c>
      <c r="B164" s="75" t="s">
        <v>37</v>
      </c>
      <c r="C164" s="23" t="s">
        <v>9</v>
      </c>
      <c r="D164" s="23" t="s">
        <v>25</v>
      </c>
      <c r="E164" s="23" t="s">
        <v>10</v>
      </c>
      <c r="F164" s="37">
        <v>149133</v>
      </c>
      <c r="G164" s="5">
        <v>3.2150747E-2</v>
      </c>
      <c r="H164" s="11">
        <f t="shared" si="17"/>
        <v>4794.7373523510005</v>
      </c>
      <c r="I164" s="33">
        <v>1793.24</v>
      </c>
      <c r="J164" s="13">
        <f t="shared" si="18"/>
        <v>8598114.8097299077</v>
      </c>
      <c r="K164" s="76" t="s">
        <v>38</v>
      </c>
    </row>
    <row r="165" spans="1:11" s="73" customFormat="1" ht="15.6" x14ac:dyDescent="0.3">
      <c r="A165" s="12">
        <v>44376</v>
      </c>
      <c r="B165" s="75" t="s">
        <v>37</v>
      </c>
      <c r="C165" s="23" t="s">
        <v>9</v>
      </c>
      <c r="D165" s="23" t="s">
        <v>25</v>
      </c>
      <c r="E165" s="23" t="s">
        <v>10</v>
      </c>
      <c r="F165" s="37">
        <v>149106</v>
      </c>
      <c r="G165" s="5">
        <v>3.2150747E-2</v>
      </c>
      <c r="H165" s="11">
        <f t="shared" si="17"/>
        <v>4793.8692821820005</v>
      </c>
      <c r="I165" s="33">
        <v>1663.42</v>
      </c>
      <c r="J165" s="13">
        <f t="shared" si="18"/>
        <v>7974218.0413671834</v>
      </c>
      <c r="K165" s="76" t="s">
        <v>38</v>
      </c>
    </row>
    <row r="166" spans="1:11" s="73" customFormat="1" ht="15.6" x14ac:dyDescent="0.3">
      <c r="A166" s="12">
        <v>44390</v>
      </c>
      <c r="B166" s="75" t="s">
        <v>37</v>
      </c>
      <c r="C166" s="23" t="s">
        <v>9</v>
      </c>
      <c r="D166" s="23" t="s">
        <v>25</v>
      </c>
      <c r="E166" s="23" t="s">
        <v>10</v>
      </c>
      <c r="F166" s="37">
        <v>149158</v>
      </c>
      <c r="G166" s="5">
        <v>3.2150747E-2</v>
      </c>
      <c r="H166" s="11">
        <f t="shared" si="17"/>
        <v>4795.5411210259999</v>
      </c>
      <c r="I166" s="40">
        <v>1705.02</v>
      </c>
      <c r="J166" s="13">
        <f t="shared" si="18"/>
        <v>8176493.5221717507</v>
      </c>
      <c r="K166" s="76" t="s">
        <v>38</v>
      </c>
    </row>
    <row r="167" spans="1:11" s="73" customFormat="1" ht="15.6" x14ac:dyDescent="0.3">
      <c r="A167" s="12">
        <v>44397</v>
      </c>
      <c r="B167" s="75" t="s">
        <v>37</v>
      </c>
      <c r="C167" s="23" t="s">
        <v>9</v>
      </c>
      <c r="D167" s="23" t="s">
        <v>25</v>
      </c>
      <c r="E167" s="23" t="s">
        <v>10</v>
      </c>
      <c r="F167" s="37">
        <v>149160</v>
      </c>
      <c r="G167" s="5">
        <v>3.2150747E-2</v>
      </c>
      <c r="H167" s="11">
        <f t="shared" si="17"/>
        <v>4795.6054225200005</v>
      </c>
      <c r="I167" s="33">
        <v>1713.67</v>
      </c>
      <c r="J167" s="13">
        <f t="shared" si="18"/>
        <v>8218085.1444098493</v>
      </c>
      <c r="K167" s="76" t="s">
        <v>38</v>
      </c>
    </row>
    <row r="168" spans="1:11" s="73" customFormat="1" ht="15.6" x14ac:dyDescent="0.3">
      <c r="A168" s="12">
        <v>44432</v>
      </c>
      <c r="B168" s="75" t="s">
        <v>37</v>
      </c>
      <c r="C168" s="23" t="s">
        <v>9</v>
      </c>
      <c r="D168" s="23" t="s">
        <v>25</v>
      </c>
      <c r="E168" s="23" t="s">
        <v>10</v>
      </c>
      <c r="F168" s="37">
        <v>149143</v>
      </c>
      <c r="G168" s="5">
        <v>3.2150747E-2</v>
      </c>
      <c r="H168" s="11">
        <f t="shared" si="17"/>
        <v>4795.0588598209997</v>
      </c>
      <c r="I168" s="33">
        <v>1699.94</v>
      </c>
      <c r="J168" s="13">
        <f t="shared" si="18"/>
        <v>8151312.3581641102</v>
      </c>
      <c r="K168" s="76" t="s">
        <v>38</v>
      </c>
    </row>
    <row r="169" spans="1:11" s="73" customFormat="1" ht="15.6" x14ac:dyDescent="0.3">
      <c r="A169" s="12">
        <v>44460</v>
      </c>
      <c r="B169" s="75" t="s">
        <v>37</v>
      </c>
      <c r="C169" s="23" t="s">
        <v>9</v>
      </c>
      <c r="D169" s="23" t="s">
        <v>25</v>
      </c>
      <c r="E169" s="23" t="s">
        <v>10</v>
      </c>
      <c r="F169" s="37">
        <v>149137</v>
      </c>
      <c r="G169" s="5">
        <v>3.2150747E-2</v>
      </c>
      <c r="H169" s="11">
        <f t="shared" si="17"/>
        <v>4794.8659553389998</v>
      </c>
      <c r="I169" s="33">
        <v>1667.98</v>
      </c>
      <c r="J169" s="13">
        <f t="shared" si="18"/>
        <v>7997740.5161863454</v>
      </c>
      <c r="K169" s="76" t="s">
        <v>38</v>
      </c>
    </row>
    <row r="170" spans="1:11" s="73" customFormat="1" ht="15.6" x14ac:dyDescent="0.3">
      <c r="A170" s="12">
        <v>44487</v>
      </c>
      <c r="B170" s="75" t="s">
        <v>37</v>
      </c>
      <c r="C170" s="23" t="s">
        <v>9</v>
      </c>
      <c r="D170" s="23" t="s">
        <v>25</v>
      </c>
      <c r="E170" s="23" t="s">
        <v>10</v>
      </c>
      <c r="F170" s="37">
        <v>149139</v>
      </c>
      <c r="G170" s="5">
        <v>3.2150747E-2</v>
      </c>
      <c r="H170" s="11">
        <f t="shared" si="17"/>
        <v>4794.9302568330004</v>
      </c>
      <c r="I170" s="33">
        <v>1661.78</v>
      </c>
      <c r="J170" s="13">
        <f t="shared" si="18"/>
        <v>7968119.2021999434</v>
      </c>
      <c r="K170" s="76" t="s">
        <v>38</v>
      </c>
    </row>
    <row r="171" spans="1:11" s="73" customFormat="1" ht="15.6" x14ac:dyDescent="0.3">
      <c r="A171" s="12">
        <v>44501</v>
      </c>
      <c r="B171" s="75" t="s">
        <v>37</v>
      </c>
      <c r="C171" s="23" t="s">
        <v>9</v>
      </c>
      <c r="D171" s="23" t="s">
        <v>25</v>
      </c>
      <c r="E171" s="23" t="s">
        <v>10</v>
      </c>
      <c r="F171" s="37">
        <v>149117</v>
      </c>
      <c r="G171" s="5">
        <v>3.2150747E-2</v>
      </c>
      <c r="H171" s="11">
        <f t="shared" si="17"/>
        <v>4794.2229403990004</v>
      </c>
      <c r="I171" s="33">
        <v>1686.1719999999998</v>
      </c>
      <c r="J171" s="13">
        <f t="shared" si="18"/>
        <v>8083884.4838584624</v>
      </c>
      <c r="K171" s="76" t="s">
        <v>38</v>
      </c>
    </row>
    <row r="172" spans="1:11" s="73" customFormat="1" ht="15.6" x14ac:dyDescent="0.3">
      <c r="A172" s="12">
        <v>44516</v>
      </c>
      <c r="B172" s="75" t="s">
        <v>37</v>
      </c>
      <c r="C172" s="23" t="s">
        <v>9</v>
      </c>
      <c r="D172" s="23" t="s">
        <v>25</v>
      </c>
      <c r="E172" s="23" t="s">
        <v>10</v>
      </c>
      <c r="F172" s="37">
        <v>149073</v>
      </c>
      <c r="G172" s="5">
        <v>3.2150747E-2</v>
      </c>
      <c r="H172" s="11">
        <f t="shared" si="17"/>
        <v>4792.8083075309996</v>
      </c>
      <c r="I172" s="36">
        <v>1759.915</v>
      </c>
      <c r="J172" s="13">
        <f t="shared" si="18"/>
        <v>8434935.2325484194</v>
      </c>
      <c r="K172" s="76" t="s">
        <v>38</v>
      </c>
    </row>
    <row r="173" spans="1:11" s="73" customFormat="1" ht="16.2" thickBot="1" x14ac:dyDescent="0.35">
      <c r="A173" s="103">
        <v>44551</v>
      </c>
      <c r="B173" s="129" t="s">
        <v>37</v>
      </c>
      <c r="C173" s="78" t="s">
        <v>9</v>
      </c>
      <c r="D173" s="78" t="s">
        <v>25</v>
      </c>
      <c r="E173" s="78" t="s">
        <v>10</v>
      </c>
      <c r="F173" s="124">
        <v>149093</v>
      </c>
      <c r="G173" s="80">
        <v>3.2150747E-2</v>
      </c>
      <c r="H173" s="95">
        <f t="shared" si="17"/>
        <v>4793.4513224709999</v>
      </c>
      <c r="I173" s="125">
        <v>1686.2189999999998</v>
      </c>
      <c r="J173" s="96">
        <f t="shared" si="18"/>
        <v>8082808.6955257263</v>
      </c>
      <c r="K173" s="76" t="s">
        <v>38</v>
      </c>
    </row>
    <row r="174" spans="1:11" s="73" customFormat="1" ht="16.2" thickBot="1" x14ac:dyDescent="0.35">
      <c r="A174" s="146" t="s">
        <v>41</v>
      </c>
      <c r="B174" s="146"/>
      <c r="C174" s="146"/>
      <c r="D174" s="146"/>
      <c r="E174" s="146"/>
      <c r="F174" s="128">
        <f>SUM(F156:F173)</f>
        <v>2684268</v>
      </c>
      <c r="G174" s="130"/>
      <c r="H174" s="128">
        <f>SUM(H156:H173)</f>
        <v>86301.221348196006</v>
      </c>
      <c r="I174" s="130"/>
      <c r="J174" s="128">
        <f>SUM(J156:J173)</f>
        <v>147115025.45812285</v>
      </c>
    </row>
    <row r="175" spans="1:11" ht="15" thickBot="1" x14ac:dyDescent="0.35">
      <c r="A175" s="147" t="s">
        <v>42</v>
      </c>
      <c r="B175" s="147"/>
      <c r="C175" s="147"/>
      <c r="D175" s="147"/>
      <c r="E175" s="147"/>
      <c r="F175" s="142">
        <f>F21+F94+F103+F124+F139+F153+F155+F174</f>
        <v>15638438.699999999</v>
      </c>
      <c r="G175" s="143"/>
      <c r="H175" s="142">
        <f>H21+H94+H103+H124+H139+H153+H155+H174</f>
        <v>502802.77702010877</v>
      </c>
      <c r="I175" s="143"/>
      <c r="J175" s="142">
        <f>J21+J94+J103+J124+J139+J153+J155+J174</f>
        <v>857536804.15992486</v>
      </c>
    </row>
  </sheetData>
  <sheetProtection sheet="1" objects="1" scenarios="1"/>
  <mergeCells count="20">
    <mergeCell ref="A1:K1"/>
    <mergeCell ref="A3:A4"/>
    <mergeCell ref="B3:B4"/>
    <mergeCell ref="C3:C4"/>
    <mergeCell ref="D3:D4"/>
    <mergeCell ref="E3:E4"/>
    <mergeCell ref="F3:H3"/>
    <mergeCell ref="I3:I4"/>
    <mergeCell ref="J3:J4"/>
    <mergeCell ref="K3:K4"/>
    <mergeCell ref="A2:K2"/>
    <mergeCell ref="A124:E124"/>
    <mergeCell ref="A103:E103"/>
    <mergeCell ref="A94:E94"/>
    <mergeCell ref="A21:E21"/>
    <mergeCell ref="A175:E175"/>
    <mergeCell ref="A155:E155"/>
    <mergeCell ref="A174:E174"/>
    <mergeCell ref="A153:E153"/>
    <mergeCell ref="A139:E139"/>
  </mergeCells>
  <pageMargins left="0.7" right="0.7" top="0.75" bottom="0.75" header="0.3" footer="0.3"/>
  <ignoredErrors>
    <ignoredError sqref="H155 H153 J139 J124 I74:I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Proverbseight   Jones</dc:creator>
  <cp:lastModifiedBy>Melissa  Smith</cp:lastModifiedBy>
  <dcterms:created xsi:type="dcterms:W3CDTF">2025-08-08T17:35:07Z</dcterms:created>
  <dcterms:modified xsi:type="dcterms:W3CDTF">2025-09-22T19:57:35Z</dcterms:modified>
</cp:coreProperties>
</file>